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dmin\Desktop\Jim\Budget Info\Budget 2024-25\"/>
    </mc:Choice>
  </mc:AlternateContent>
  <xr:revisionPtr revIDLastSave="0" documentId="13_ncr:1_{50E123B5-B0BF-41FC-9969-69960FFDEE04}" xr6:coauthVersionLast="47" xr6:coauthVersionMax="47" xr10:uidLastSave="{00000000-0000-0000-0000-000000000000}"/>
  <bookViews>
    <workbookView xWindow="-120" yWindow="-120" windowWidth="20640" windowHeight="11040" activeTab="4" xr2:uid="{70066525-3B22-47FB-9770-18101C1EF967}"/>
  </bookViews>
  <sheets>
    <sheet name="Town_Sage" sheetId="7" r:id="rId1"/>
    <sheet name="Utility" sheetId="8" r:id="rId2"/>
    <sheet name="Arena_Sage" sheetId="2" r:id="rId3"/>
    <sheet name="Notes" sheetId="22" r:id="rId4"/>
    <sheet name="Database" sheetId="5" r:id="rId5"/>
    <sheet name="Consolidated Sta(Operation)" sheetId="18" r:id="rId6"/>
    <sheet name="Expenditures_Town(S.4)" sheetId="12" r:id="rId7"/>
    <sheet name="Revenues_Town " sheetId="14" r:id="rId8"/>
    <sheet name="Operations_Town(S.3)" sheetId="13" r:id="rId9"/>
    <sheet name="Operations_Sewerage(S.5)" sheetId="15" r:id="rId10"/>
    <sheet name="Operations_Water(S.6)" sheetId="16" r:id="rId11"/>
    <sheet name="Operations_Arena(S.7)" sheetId="17" r:id="rId12"/>
    <sheet name="Utility Share" sheetId="21" r:id="rId13"/>
    <sheet name="Fire Service" sheetId="20" r:id="rId14"/>
    <sheet name="Assessment" sheetId="19" r:id="rId15"/>
    <sheet name="Capital 5 year" sheetId="23" r:id="rId16"/>
    <sheet name="Capital 1 year" sheetId="24" r:id="rId17"/>
  </sheets>
  <definedNames>
    <definedName name="_xlnm.Print_Area" localSheetId="14">Assessment!$E$1:$H$20</definedName>
    <definedName name="_xlnm.Print_Area" localSheetId="16">'Capital 1 year'!$A$2:$I$61</definedName>
    <definedName name="_xlnm.Print_Area" localSheetId="15">'Capital 5 year'!$A$7:$L$90</definedName>
    <definedName name="_xlnm.Print_Area" localSheetId="5">'Consolidated Sta(Operation)'!$A$1:$I$29</definedName>
    <definedName name="_xlnm.Print_Area" localSheetId="4">Database!$A$145:$P$990</definedName>
    <definedName name="_xlnm.Print_Area" localSheetId="6">'Expenditures_Town(S.4)'!$A$6:$I$79</definedName>
    <definedName name="_xlnm.Print_Area" localSheetId="11">'Operations_Arena(S.7)'!$A$1:$I$44</definedName>
    <definedName name="_xlnm.Print_Area" localSheetId="9">'Operations_Sewerage(S.5)'!$A$6:$I$37</definedName>
    <definedName name="_xlnm.Print_Area" localSheetId="8">'Operations_Town(S.3)'!$A$3:$I$37</definedName>
    <definedName name="_xlnm.Print_Area" localSheetId="10">'Operations_Water(S.6)'!$A$7:$I$42</definedName>
    <definedName name="_xlnm.Print_Titles" localSheetId="16">'Capital 1 year'!$5:$6</definedName>
    <definedName name="_xlnm.Print_Titles" localSheetId="15">'Capital 5 year'!$1:$6</definedName>
    <definedName name="_xlnm.Print_Titles" localSheetId="4">Database!$7:$8</definedName>
    <definedName name="_xlnm.Print_Titles" localSheetId="6">'Expenditures_Town(S.4)'!$1:$5</definedName>
    <definedName name="_xlnm.Print_Titles" localSheetId="11">'Operations_Arena(S.7)'!$1:$6</definedName>
    <definedName name="_xlnm.Print_Titles" localSheetId="9">'Operations_Sewerage(S.5)'!$1:$5</definedName>
    <definedName name="_xlnm.Print_Titles" localSheetId="8">'Operations_Town(S.3)'!$1:$5</definedName>
    <definedName name="_xlnm.Print_Titles" localSheetId="10">'Operations_Water(S.6)'!$1:$6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3" l="1"/>
  <c r="H33" i="13"/>
  <c r="G33" i="13"/>
  <c r="F33" i="13"/>
  <c r="E33" i="13"/>
  <c r="D33" i="13"/>
  <c r="H25" i="18"/>
  <c r="E25" i="18"/>
  <c r="D25" i="18"/>
  <c r="I42" i="16"/>
  <c r="H42" i="16"/>
  <c r="G42" i="16"/>
  <c r="F42" i="16"/>
  <c r="E42" i="16"/>
  <c r="D42" i="16"/>
  <c r="D40" i="16"/>
  <c r="D36" i="15"/>
  <c r="C247" i="5"/>
  <c r="D45" i="13"/>
  <c r="U172" i="5"/>
  <c r="S303" i="5"/>
  <c r="G59" i="24"/>
  <c r="F59" i="24"/>
  <c r="B59" i="24" s="1"/>
  <c r="D58" i="24"/>
  <c r="E58" i="24" s="1"/>
  <c r="D57" i="24"/>
  <c r="E57" i="24" s="1"/>
  <c r="D56" i="24"/>
  <c r="E56" i="24" s="1"/>
  <c r="D55" i="24"/>
  <c r="D54" i="24"/>
  <c r="E54" i="24" s="1"/>
  <c r="H52" i="24"/>
  <c r="H61" i="24" s="1"/>
  <c r="G52" i="24"/>
  <c r="F52" i="24"/>
  <c r="B52" i="24" s="1"/>
  <c r="D51" i="24"/>
  <c r="E51" i="24" s="1"/>
  <c r="D50" i="24"/>
  <c r="E50" i="24" s="1"/>
  <c r="D49" i="24"/>
  <c r="E49" i="24" s="1"/>
  <c r="D48" i="24"/>
  <c r="E48" i="24" s="1"/>
  <c r="D47" i="24"/>
  <c r="E47" i="24" s="1"/>
  <c r="G42" i="24"/>
  <c r="F42" i="24"/>
  <c r="D41" i="24"/>
  <c r="E41" i="24" s="1"/>
  <c r="D40" i="24"/>
  <c r="E40" i="24" s="1"/>
  <c r="D39" i="24"/>
  <c r="E39" i="24" s="1"/>
  <c r="D38" i="24"/>
  <c r="E38" i="24" s="1"/>
  <c r="G35" i="24"/>
  <c r="F35" i="24"/>
  <c r="F44" i="24" s="1"/>
  <c r="D33" i="24"/>
  <c r="E33" i="24" s="1"/>
  <c r="D31" i="24"/>
  <c r="E31" i="24" s="1"/>
  <c r="D30" i="24"/>
  <c r="E30" i="24" s="1"/>
  <c r="D28" i="24"/>
  <c r="E28" i="24" s="1"/>
  <c r="D27" i="24"/>
  <c r="E27" i="24" s="1"/>
  <c r="D26" i="24"/>
  <c r="E26" i="24" s="1"/>
  <c r="D25" i="24"/>
  <c r="E25" i="24" s="1"/>
  <c r="D24" i="24"/>
  <c r="E24" i="24" s="1"/>
  <c r="D23" i="24"/>
  <c r="E23" i="24" s="1"/>
  <c r="D22" i="24"/>
  <c r="E22" i="24" s="1"/>
  <c r="D20" i="24"/>
  <c r="E20" i="24" s="1"/>
  <c r="D19" i="24"/>
  <c r="E19" i="24" s="1"/>
  <c r="D18" i="24"/>
  <c r="E18" i="24" s="1"/>
  <c r="D14" i="24"/>
  <c r="E14" i="24" s="1"/>
  <c r="D13" i="24"/>
  <c r="E13" i="24" s="1"/>
  <c r="L12" i="24"/>
  <c r="D11" i="24"/>
  <c r="E11" i="24" s="1"/>
  <c r="K3" i="24"/>
  <c r="M90" i="23"/>
  <c r="L85" i="23"/>
  <c r="K85" i="23"/>
  <c r="J85" i="23"/>
  <c r="I85" i="23"/>
  <c r="H85" i="23"/>
  <c r="G85" i="23"/>
  <c r="F85" i="23"/>
  <c r="B85" i="23"/>
  <c r="D84" i="23"/>
  <c r="E84" i="23" s="1"/>
  <c r="D83" i="23"/>
  <c r="E83" i="23" s="1"/>
  <c r="D82" i="23"/>
  <c r="E82" i="23" s="1"/>
  <c r="D81" i="23"/>
  <c r="E81" i="23" s="1"/>
  <c r="D80" i="23"/>
  <c r="E80" i="23" s="1"/>
  <c r="D79" i="23"/>
  <c r="D85" i="23" s="1"/>
  <c r="E85" i="23" s="1"/>
  <c r="D78" i="23"/>
  <c r="E78" i="23" s="1"/>
  <c r="M76" i="23"/>
  <c r="L76" i="23"/>
  <c r="K76" i="23"/>
  <c r="J76" i="23"/>
  <c r="I76" i="23"/>
  <c r="H76" i="23"/>
  <c r="G76" i="23"/>
  <c r="F76" i="23"/>
  <c r="B76" i="23" s="1"/>
  <c r="D75" i="23"/>
  <c r="E75" i="23" s="1"/>
  <c r="D74" i="23"/>
  <c r="E74" i="23" s="1"/>
  <c r="E73" i="23"/>
  <c r="D73" i="23"/>
  <c r="D72" i="23"/>
  <c r="E72" i="23" s="1"/>
  <c r="D71" i="23"/>
  <c r="E71" i="23" s="1"/>
  <c r="E70" i="23"/>
  <c r="D70" i="23"/>
  <c r="D69" i="23"/>
  <c r="E69" i="23" s="1"/>
  <c r="D68" i="23"/>
  <c r="E68" i="23" s="1"/>
  <c r="L65" i="23"/>
  <c r="L90" i="23" s="1"/>
  <c r="G65" i="23"/>
  <c r="G90" i="23" s="1"/>
  <c r="F65" i="23"/>
  <c r="F90" i="23" s="1"/>
  <c r="L63" i="23"/>
  <c r="K63" i="23"/>
  <c r="J63" i="23"/>
  <c r="I63" i="23"/>
  <c r="H63" i="23"/>
  <c r="G63" i="23"/>
  <c r="F63" i="23"/>
  <c r="N63" i="23" s="1"/>
  <c r="D62" i="23"/>
  <c r="E62" i="23" s="1"/>
  <c r="D61" i="23"/>
  <c r="E61" i="23" s="1"/>
  <c r="D60" i="23"/>
  <c r="E60" i="23" s="1"/>
  <c r="D59" i="23"/>
  <c r="E59" i="23" s="1"/>
  <c r="D58" i="23"/>
  <c r="E58" i="23" s="1"/>
  <c r="D57" i="23"/>
  <c r="E57" i="23" s="1"/>
  <c r="Q56" i="23"/>
  <c r="R56" i="23" s="1"/>
  <c r="P56" i="23"/>
  <c r="O56" i="23"/>
  <c r="D56" i="23"/>
  <c r="E56" i="23" s="1"/>
  <c r="L52" i="23"/>
  <c r="K52" i="23"/>
  <c r="K65" i="23" s="1"/>
  <c r="K90" i="23" s="1"/>
  <c r="J52" i="23"/>
  <c r="J65" i="23" s="1"/>
  <c r="J90" i="23" s="1"/>
  <c r="I52" i="23"/>
  <c r="I65" i="23" s="1"/>
  <c r="I90" i="23" s="1"/>
  <c r="H52" i="23"/>
  <c r="H65" i="23" s="1"/>
  <c r="H90" i="23" s="1"/>
  <c r="G52" i="23"/>
  <c r="F52" i="23"/>
  <c r="N52" i="23" s="1"/>
  <c r="D50" i="23"/>
  <c r="E50" i="23" s="1"/>
  <c r="D46" i="23"/>
  <c r="E46" i="23" s="1"/>
  <c r="D45" i="23"/>
  <c r="E45" i="23" s="1"/>
  <c r="D43" i="23"/>
  <c r="E43" i="23" s="1"/>
  <c r="D40" i="23"/>
  <c r="E40" i="23" s="1"/>
  <c r="D36" i="23"/>
  <c r="E36" i="23" s="1"/>
  <c r="D35" i="23"/>
  <c r="E35" i="23" s="1"/>
  <c r="D34" i="23"/>
  <c r="E34" i="23" s="1"/>
  <c r="D33" i="23"/>
  <c r="E33" i="23" s="1"/>
  <c r="D32" i="23"/>
  <c r="E32" i="23" s="1"/>
  <c r="D31" i="23"/>
  <c r="E31" i="23" s="1"/>
  <c r="D27" i="23"/>
  <c r="E27" i="23" s="1"/>
  <c r="D26" i="23"/>
  <c r="E26" i="23" s="1"/>
  <c r="D25" i="23"/>
  <c r="E25" i="23" s="1"/>
  <c r="D24" i="23"/>
  <c r="E24" i="23" s="1"/>
  <c r="D19" i="23"/>
  <c r="E19" i="23" s="1"/>
  <c r="D18" i="23"/>
  <c r="E18" i="23" s="1"/>
  <c r="D17" i="23"/>
  <c r="E17" i="23" s="1"/>
  <c r="D15" i="23"/>
  <c r="E15" i="23" s="1"/>
  <c r="Q14" i="23"/>
  <c r="D13" i="23"/>
  <c r="E13" i="23" s="1"/>
  <c r="D12" i="23"/>
  <c r="D52" i="23" s="1"/>
  <c r="E11" i="23"/>
  <c r="D11" i="23"/>
  <c r="P3" i="23"/>
  <c r="D43" i="15"/>
  <c r="I59" i="24" l="1"/>
  <c r="I52" i="24"/>
  <c r="G44" i="24"/>
  <c r="G61" i="24" s="1"/>
  <c r="F61" i="24"/>
  <c r="I61" i="24" s="1"/>
  <c r="I42" i="24"/>
  <c r="I35" i="24"/>
  <c r="D42" i="24"/>
  <c r="D52" i="24"/>
  <c r="E52" i="24" s="1"/>
  <c r="D59" i="24"/>
  <c r="E59" i="24" s="1"/>
  <c r="E35" i="24"/>
  <c r="E42" i="24"/>
  <c r="E55" i="24"/>
  <c r="D35" i="24"/>
  <c r="E63" i="23"/>
  <c r="D63" i="23"/>
  <c r="D65" i="23" s="1"/>
  <c r="D90" i="23" s="1"/>
  <c r="D76" i="23"/>
  <c r="E76" i="23" s="1"/>
  <c r="E79" i="23"/>
  <c r="E12" i="23"/>
  <c r="E52" i="23" s="1"/>
  <c r="E65" i="23" s="1"/>
  <c r="E90" i="23" s="1"/>
  <c r="I44" i="24" l="1"/>
  <c r="D44" i="24"/>
  <c r="D61" i="24" s="1"/>
  <c r="E44" i="24"/>
  <c r="E61" i="24" s="1"/>
  <c r="I8" i="19"/>
  <c r="C261" i="5" l="1"/>
  <c r="C260" i="5"/>
  <c r="C259" i="5"/>
  <c r="C258" i="5"/>
  <c r="C257" i="5"/>
  <c r="C256" i="5"/>
  <c r="E766" i="22"/>
  <c r="F766" i="22" s="1"/>
  <c r="E765" i="22"/>
  <c r="F765" i="22" s="1"/>
  <c r="E764" i="22"/>
  <c r="F764" i="22" s="1"/>
  <c r="E763" i="22"/>
  <c r="F763" i="22" s="1"/>
  <c r="E762" i="22"/>
  <c r="F762" i="22" s="1"/>
  <c r="E761" i="22"/>
  <c r="F761" i="22" s="1"/>
  <c r="E760" i="22"/>
  <c r="F760" i="22" s="1"/>
  <c r="E759" i="22"/>
  <c r="F759" i="22" s="1"/>
  <c r="E758" i="22"/>
  <c r="F758" i="22" s="1"/>
  <c r="E757" i="22"/>
  <c r="F757" i="22" s="1"/>
  <c r="E756" i="22"/>
  <c r="F756" i="22" s="1"/>
  <c r="E755" i="22"/>
  <c r="F755" i="22" s="1"/>
  <c r="E754" i="22"/>
  <c r="F754" i="22" s="1"/>
  <c r="E753" i="22"/>
  <c r="F753" i="22" s="1"/>
  <c r="E752" i="22"/>
  <c r="F752" i="22" s="1"/>
  <c r="E751" i="22"/>
  <c r="F751" i="22" s="1"/>
  <c r="E750" i="22"/>
  <c r="F750" i="22" s="1"/>
  <c r="E749" i="22"/>
  <c r="F749" i="22" s="1"/>
  <c r="E748" i="22"/>
  <c r="F748" i="22" s="1"/>
  <c r="E747" i="22"/>
  <c r="F747" i="22" s="1"/>
  <c r="E746" i="22"/>
  <c r="F746" i="22" s="1"/>
  <c r="E745" i="22"/>
  <c r="F745" i="22" s="1"/>
  <c r="E744" i="22"/>
  <c r="F744" i="22" s="1"/>
  <c r="E743" i="22"/>
  <c r="F743" i="22" s="1"/>
  <c r="E742" i="22"/>
  <c r="F742" i="22" s="1"/>
  <c r="E741" i="22"/>
  <c r="F741" i="22" s="1"/>
  <c r="E740" i="22"/>
  <c r="F740" i="22" s="1"/>
  <c r="E739" i="22"/>
  <c r="F739" i="22" s="1"/>
  <c r="E738" i="22"/>
  <c r="F738" i="22" s="1"/>
  <c r="E737" i="22"/>
  <c r="F737" i="22" s="1"/>
  <c r="E736" i="22"/>
  <c r="F736" i="22" s="1"/>
  <c r="E735" i="22"/>
  <c r="F735" i="22" s="1"/>
  <c r="E734" i="22"/>
  <c r="F734" i="22" s="1"/>
  <c r="E733" i="22"/>
  <c r="F733" i="22" s="1"/>
  <c r="E732" i="22"/>
  <c r="F732" i="22" s="1"/>
  <c r="E731" i="22"/>
  <c r="F731" i="22" s="1"/>
  <c r="E730" i="22"/>
  <c r="F730" i="22" s="1"/>
  <c r="E729" i="22"/>
  <c r="F729" i="22" s="1"/>
  <c r="E728" i="22"/>
  <c r="F728" i="22" s="1"/>
  <c r="E727" i="22"/>
  <c r="F727" i="22" s="1"/>
  <c r="E726" i="22"/>
  <c r="F726" i="22" s="1"/>
  <c r="E725" i="22"/>
  <c r="F725" i="22" s="1"/>
  <c r="E724" i="22"/>
  <c r="F724" i="22" s="1"/>
  <c r="E723" i="22"/>
  <c r="F723" i="22" s="1"/>
  <c r="E722" i="22"/>
  <c r="F722" i="22" s="1"/>
  <c r="E721" i="22"/>
  <c r="F721" i="22" s="1"/>
  <c r="E720" i="22"/>
  <c r="F720" i="22" s="1"/>
  <c r="E719" i="22"/>
  <c r="F719" i="22" s="1"/>
  <c r="E718" i="22"/>
  <c r="F718" i="22" s="1"/>
  <c r="E717" i="22"/>
  <c r="F717" i="22" s="1"/>
  <c r="E716" i="22"/>
  <c r="F716" i="22" s="1"/>
  <c r="E715" i="22"/>
  <c r="F715" i="22" s="1"/>
  <c r="E714" i="22"/>
  <c r="F714" i="22" s="1"/>
  <c r="E713" i="22"/>
  <c r="F713" i="22" s="1"/>
  <c r="E712" i="22"/>
  <c r="F712" i="22" s="1"/>
  <c r="E711" i="22"/>
  <c r="F711" i="22" s="1"/>
  <c r="E710" i="22"/>
  <c r="F710" i="22" s="1"/>
  <c r="E709" i="22"/>
  <c r="F709" i="22" s="1"/>
  <c r="E708" i="22"/>
  <c r="F708" i="22" s="1"/>
  <c r="E707" i="22"/>
  <c r="F707" i="22" s="1"/>
  <c r="E706" i="22"/>
  <c r="F706" i="22" s="1"/>
  <c r="E705" i="22"/>
  <c r="F705" i="22" s="1"/>
  <c r="E704" i="22"/>
  <c r="F704" i="22" s="1"/>
  <c r="E703" i="22"/>
  <c r="F703" i="22" s="1"/>
  <c r="E702" i="22"/>
  <c r="F702" i="22" s="1"/>
  <c r="E701" i="22"/>
  <c r="F701" i="22" s="1"/>
  <c r="E700" i="22"/>
  <c r="F700" i="22" s="1"/>
  <c r="E699" i="22"/>
  <c r="F699" i="22" s="1"/>
  <c r="E698" i="22"/>
  <c r="F698" i="22" s="1"/>
  <c r="E697" i="22"/>
  <c r="F697" i="22" s="1"/>
  <c r="E696" i="22"/>
  <c r="F696" i="22" s="1"/>
  <c r="E695" i="22"/>
  <c r="F695" i="22" s="1"/>
  <c r="E694" i="22"/>
  <c r="F694" i="22" s="1"/>
  <c r="E693" i="22"/>
  <c r="F693" i="22" s="1"/>
  <c r="E692" i="22"/>
  <c r="F692" i="22" s="1"/>
  <c r="E691" i="22"/>
  <c r="F691" i="22" s="1"/>
  <c r="E690" i="22"/>
  <c r="F690" i="22" s="1"/>
  <c r="E689" i="22"/>
  <c r="F689" i="22" s="1"/>
  <c r="E688" i="22"/>
  <c r="F688" i="22" s="1"/>
  <c r="E687" i="22"/>
  <c r="F687" i="22" s="1"/>
  <c r="E686" i="22"/>
  <c r="F686" i="22" s="1"/>
  <c r="E685" i="22"/>
  <c r="F685" i="22" s="1"/>
  <c r="E684" i="22"/>
  <c r="F684" i="22" s="1"/>
  <c r="E683" i="22"/>
  <c r="F683" i="22" s="1"/>
  <c r="E682" i="22"/>
  <c r="F682" i="22" s="1"/>
  <c r="E681" i="22"/>
  <c r="F681" i="22" s="1"/>
  <c r="E680" i="22"/>
  <c r="F680" i="22" s="1"/>
  <c r="E679" i="22"/>
  <c r="F679" i="22" s="1"/>
  <c r="E678" i="22"/>
  <c r="F678" i="22" s="1"/>
  <c r="E677" i="22"/>
  <c r="F677" i="22" s="1"/>
  <c r="E676" i="22"/>
  <c r="F676" i="22" s="1"/>
  <c r="E675" i="22"/>
  <c r="F675" i="22" s="1"/>
  <c r="E674" i="22"/>
  <c r="F674" i="22" s="1"/>
  <c r="E673" i="22"/>
  <c r="F673" i="22" s="1"/>
  <c r="E672" i="22"/>
  <c r="F672" i="22" s="1"/>
  <c r="E671" i="22"/>
  <c r="F671" i="22" s="1"/>
  <c r="E670" i="22"/>
  <c r="F670" i="22" s="1"/>
  <c r="E669" i="22"/>
  <c r="F669" i="22" s="1"/>
  <c r="E668" i="22"/>
  <c r="F668" i="22" s="1"/>
  <c r="E667" i="22"/>
  <c r="F667" i="22" s="1"/>
  <c r="E666" i="22"/>
  <c r="F666" i="22" s="1"/>
  <c r="E665" i="22"/>
  <c r="F665" i="22" s="1"/>
  <c r="E664" i="22"/>
  <c r="F664" i="22" s="1"/>
  <c r="E663" i="22"/>
  <c r="F663" i="22" s="1"/>
  <c r="E662" i="22"/>
  <c r="F662" i="22" s="1"/>
  <c r="E661" i="22"/>
  <c r="F661" i="22" s="1"/>
  <c r="E660" i="22"/>
  <c r="F660" i="22" s="1"/>
  <c r="E659" i="22"/>
  <c r="F659" i="22" s="1"/>
  <c r="E658" i="22"/>
  <c r="F658" i="22" s="1"/>
  <c r="E657" i="22"/>
  <c r="F657" i="22" s="1"/>
  <c r="E656" i="22"/>
  <c r="F656" i="22" s="1"/>
  <c r="E655" i="22"/>
  <c r="F655" i="22" s="1"/>
  <c r="E654" i="22"/>
  <c r="F654" i="22" s="1"/>
  <c r="E653" i="22"/>
  <c r="F653" i="22" s="1"/>
  <c r="E652" i="22"/>
  <c r="F652" i="22" s="1"/>
  <c r="E651" i="22"/>
  <c r="F651" i="22" s="1"/>
  <c r="E650" i="22"/>
  <c r="F650" i="22" s="1"/>
  <c r="E649" i="22"/>
  <c r="F649" i="22" s="1"/>
  <c r="E648" i="22"/>
  <c r="F648" i="22" s="1"/>
  <c r="E647" i="22"/>
  <c r="F647" i="22" s="1"/>
  <c r="E646" i="22"/>
  <c r="F646" i="22" s="1"/>
  <c r="E645" i="22"/>
  <c r="F645" i="22" s="1"/>
  <c r="E644" i="22"/>
  <c r="F644" i="22" s="1"/>
  <c r="E643" i="22"/>
  <c r="F643" i="22" s="1"/>
  <c r="E642" i="22"/>
  <c r="F642" i="22" s="1"/>
  <c r="E641" i="22"/>
  <c r="F641" i="22" s="1"/>
  <c r="E640" i="22"/>
  <c r="F640" i="22" s="1"/>
  <c r="E639" i="22"/>
  <c r="F639" i="22" s="1"/>
  <c r="E638" i="22"/>
  <c r="F638" i="22" s="1"/>
  <c r="E637" i="22"/>
  <c r="F637" i="22" s="1"/>
  <c r="E636" i="22"/>
  <c r="F636" i="22" s="1"/>
  <c r="E635" i="22"/>
  <c r="F635" i="22" s="1"/>
  <c r="E634" i="22"/>
  <c r="F634" i="22" s="1"/>
  <c r="E633" i="22"/>
  <c r="F633" i="22" s="1"/>
  <c r="E632" i="22"/>
  <c r="F632" i="22" s="1"/>
  <c r="E631" i="22"/>
  <c r="F631" i="22" s="1"/>
  <c r="E630" i="22"/>
  <c r="F630" i="22" s="1"/>
  <c r="E629" i="22"/>
  <c r="F629" i="22" s="1"/>
  <c r="E628" i="22"/>
  <c r="F628" i="22" s="1"/>
  <c r="E627" i="22"/>
  <c r="F627" i="22" s="1"/>
  <c r="E626" i="22"/>
  <c r="F626" i="22" s="1"/>
  <c r="E625" i="22"/>
  <c r="F625" i="22" s="1"/>
  <c r="E624" i="22"/>
  <c r="F624" i="22" s="1"/>
  <c r="E623" i="22"/>
  <c r="F623" i="22" s="1"/>
  <c r="E622" i="22"/>
  <c r="F622" i="22" s="1"/>
  <c r="E621" i="22"/>
  <c r="F621" i="22" s="1"/>
  <c r="E620" i="22"/>
  <c r="F620" i="22" s="1"/>
  <c r="E619" i="22"/>
  <c r="F619" i="22" s="1"/>
  <c r="E618" i="22"/>
  <c r="F618" i="22" s="1"/>
  <c r="E617" i="22"/>
  <c r="F617" i="22" s="1"/>
  <c r="E616" i="22"/>
  <c r="F616" i="22" s="1"/>
  <c r="E615" i="22"/>
  <c r="F615" i="22" s="1"/>
  <c r="E614" i="22"/>
  <c r="F614" i="22" s="1"/>
  <c r="E613" i="22"/>
  <c r="F613" i="22" s="1"/>
  <c r="E612" i="22"/>
  <c r="F612" i="22" s="1"/>
  <c r="E611" i="22"/>
  <c r="F611" i="22" s="1"/>
  <c r="E610" i="22"/>
  <c r="F610" i="22" s="1"/>
  <c r="E609" i="22"/>
  <c r="F609" i="22" s="1"/>
  <c r="E608" i="22"/>
  <c r="F608" i="22" s="1"/>
  <c r="E607" i="22"/>
  <c r="F607" i="22" s="1"/>
  <c r="E606" i="22"/>
  <c r="F606" i="22" s="1"/>
  <c r="E605" i="22"/>
  <c r="F605" i="22" s="1"/>
  <c r="E604" i="22"/>
  <c r="F604" i="22" s="1"/>
  <c r="E603" i="22"/>
  <c r="F603" i="22" s="1"/>
  <c r="E602" i="22"/>
  <c r="F602" i="22" s="1"/>
  <c r="E601" i="22"/>
  <c r="F601" i="22" s="1"/>
  <c r="E600" i="22"/>
  <c r="F600" i="22" s="1"/>
  <c r="E599" i="22"/>
  <c r="F599" i="22" s="1"/>
  <c r="E598" i="22"/>
  <c r="F598" i="22" s="1"/>
  <c r="E597" i="22"/>
  <c r="F597" i="22" s="1"/>
  <c r="E596" i="22"/>
  <c r="F596" i="22" s="1"/>
  <c r="E595" i="22"/>
  <c r="F595" i="22" s="1"/>
  <c r="E594" i="22"/>
  <c r="F594" i="22" s="1"/>
  <c r="E593" i="22"/>
  <c r="F593" i="22" s="1"/>
  <c r="E592" i="22"/>
  <c r="F592" i="22" s="1"/>
  <c r="E591" i="22"/>
  <c r="F591" i="22" s="1"/>
  <c r="E590" i="22"/>
  <c r="F590" i="22" s="1"/>
  <c r="E589" i="22"/>
  <c r="F589" i="22" s="1"/>
  <c r="E588" i="22"/>
  <c r="F588" i="22" s="1"/>
  <c r="E587" i="22"/>
  <c r="F587" i="22" s="1"/>
  <c r="E586" i="22"/>
  <c r="F586" i="22" s="1"/>
  <c r="E585" i="22"/>
  <c r="F585" i="22" s="1"/>
  <c r="E584" i="22"/>
  <c r="F584" i="22" s="1"/>
  <c r="E583" i="22"/>
  <c r="F583" i="22" s="1"/>
  <c r="E582" i="22"/>
  <c r="F582" i="22" s="1"/>
  <c r="E581" i="22"/>
  <c r="F581" i="22" s="1"/>
  <c r="E580" i="22"/>
  <c r="F580" i="22" s="1"/>
  <c r="E579" i="22"/>
  <c r="F579" i="22" s="1"/>
  <c r="E578" i="22"/>
  <c r="F578" i="22" s="1"/>
  <c r="E577" i="22"/>
  <c r="F577" i="22" s="1"/>
  <c r="E576" i="22"/>
  <c r="F576" i="22" s="1"/>
  <c r="E575" i="22"/>
  <c r="F575" i="22" s="1"/>
  <c r="E574" i="22"/>
  <c r="F574" i="22" s="1"/>
  <c r="E573" i="22"/>
  <c r="F573" i="22" s="1"/>
  <c r="E572" i="22"/>
  <c r="F572" i="22" s="1"/>
  <c r="E571" i="22"/>
  <c r="F571" i="22" s="1"/>
  <c r="E570" i="22"/>
  <c r="F570" i="22" s="1"/>
  <c r="E569" i="22"/>
  <c r="F569" i="22" s="1"/>
  <c r="E568" i="22"/>
  <c r="F568" i="22" s="1"/>
  <c r="E567" i="22"/>
  <c r="F567" i="22" s="1"/>
  <c r="E566" i="22"/>
  <c r="F566" i="22" s="1"/>
  <c r="E565" i="22"/>
  <c r="F565" i="22" s="1"/>
  <c r="E564" i="22"/>
  <c r="F564" i="22" s="1"/>
  <c r="E563" i="22"/>
  <c r="F563" i="22" s="1"/>
  <c r="E562" i="22"/>
  <c r="F562" i="22" s="1"/>
  <c r="E561" i="22"/>
  <c r="F561" i="22" s="1"/>
  <c r="E560" i="22"/>
  <c r="F560" i="22" s="1"/>
  <c r="E559" i="22"/>
  <c r="F559" i="22" s="1"/>
  <c r="E558" i="22"/>
  <c r="F558" i="22" s="1"/>
  <c r="E557" i="22"/>
  <c r="F557" i="22" s="1"/>
  <c r="E556" i="22"/>
  <c r="F556" i="22" s="1"/>
  <c r="E555" i="22"/>
  <c r="F555" i="22" s="1"/>
  <c r="E554" i="22"/>
  <c r="F554" i="22" s="1"/>
  <c r="E553" i="22"/>
  <c r="F553" i="22" s="1"/>
  <c r="E552" i="22"/>
  <c r="F552" i="22" s="1"/>
  <c r="E551" i="22"/>
  <c r="F551" i="22" s="1"/>
  <c r="E550" i="22"/>
  <c r="F550" i="22" s="1"/>
  <c r="E549" i="22"/>
  <c r="F549" i="22" s="1"/>
  <c r="E548" i="22"/>
  <c r="F548" i="22" s="1"/>
  <c r="E547" i="22"/>
  <c r="F547" i="22" s="1"/>
  <c r="E546" i="22"/>
  <c r="F546" i="22" s="1"/>
  <c r="E545" i="22"/>
  <c r="F545" i="22" s="1"/>
  <c r="E544" i="22"/>
  <c r="F544" i="22" s="1"/>
  <c r="E543" i="22"/>
  <c r="F543" i="22" s="1"/>
  <c r="E542" i="22"/>
  <c r="F542" i="22" s="1"/>
  <c r="E541" i="22"/>
  <c r="F541" i="22" s="1"/>
  <c r="E540" i="22"/>
  <c r="F540" i="22" s="1"/>
  <c r="E539" i="22"/>
  <c r="F539" i="22" s="1"/>
  <c r="E538" i="22"/>
  <c r="F538" i="22" s="1"/>
  <c r="E537" i="22"/>
  <c r="F537" i="22" s="1"/>
  <c r="E536" i="22"/>
  <c r="F536" i="22" s="1"/>
  <c r="E535" i="22"/>
  <c r="F535" i="22" s="1"/>
  <c r="E534" i="22"/>
  <c r="F534" i="22" s="1"/>
  <c r="E533" i="22"/>
  <c r="F533" i="22" s="1"/>
  <c r="E532" i="22"/>
  <c r="F532" i="22" s="1"/>
  <c r="E531" i="22"/>
  <c r="F531" i="22" s="1"/>
  <c r="E530" i="22"/>
  <c r="F530" i="22" s="1"/>
  <c r="E529" i="22"/>
  <c r="F529" i="22" s="1"/>
  <c r="E528" i="22"/>
  <c r="F528" i="22" s="1"/>
  <c r="E527" i="22"/>
  <c r="F527" i="22" s="1"/>
  <c r="E526" i="22"/>
  <c r="F526" i="22" s="1"/>
  <c r="E525" i="22"/>
  <c r="F525" i="22" s="1"/>
  <c r="E524" i="22"/>
  <c r="F524" i="22" s="1"/>
  <c r="E523" i="22"/>
  <c r="F523" i="22" s="1"/>
  <c r="E522" i="22"/>
  <c r="F522" i="22" s="1"/>
  <c r="E521" i="22"/>
  <c r="F521" i="22" s="1"/>
  <c r="E520" i="22"/>
  <c r="F520" i="22" s="1"/>
  <c r="E519" i="22"/>
  <c r="F519" i="22" s="1"/>
  <c r="E518" i="22"/>
  <c r="F518" i="22" s="1"/>
  <c r="E517" i="22"/>
  <c r="F517" i="22" s="1"/>
  <c r="E516" i="22"/>
  <c r="F516" i="22" s="1"/>
  <c r="E515" i="22"/>
  <c r="F515" i="22" s="1"/>
  <c r="E514" i="22"/>
  <c r="F514" i="22" s="1"/>
  <c r="E513" i="22"/>
  <c r="F513" i="22" s="1"/>
  <c r="E512" i="22"/>
  <c r="F512" i="22" s="1"/>
  <c r="E511" i="22"/>
  <c r="F511" i="22" s="1"/>
  <c r="E510" i="22"/>
  <c r="F510" i="22" s="1"/>
  <c r="E509" i="22"/>
  <c r="F509" i="22" s="1"/>
  <c r="E508" i="22"/>
  <c r="F508" i="22" s="1"/>
  <c r="E507" i="22"/>
  <c r="F507" i="22" s="1"/>
  <c r="E506" i="22"/>
  <c r="F506" i="22" s="1"/>
  <c r="E505" i="22"/>
  <c r="F505" i="22" s="1"/>
  <c r="E504" i="22"/>
  <c r="F504" i="22" s="1"/>
  <c r="E503" i="22"/>
  <c r="F503" i="22" s="1"/>
  <c r="E502" i="22"/>
  <c r="F502" i="22" s="1"/>
  <c r="E501" i="22"/>
  <c r="F501" i="22" s="1"/>
  <c r="E500" i="22"/>
  <c r="F500" i="22" s="1"/>
  <c r="E499" i="22"/>
  <c r="F499" i="22" s="1"/>
  <c r="E498" i="22"/>
  <c r="F498" i="22" s="1"/>
  <c r="E497" i="22"/>
  <c r="F497" i="22" s="1"/>
  <c r="E496" i="22"/>
  <c r="F496" i="22" s="1"/>
  <c r="E495" i="22"/>
  <c r="F495" i="22" s="1"/>
  <c r="E494" i="22"/>
  <c r="F494" i="22" s="1"/>
  <c r="E493" i="22"/>
  <c r="F493" i="22" s="1"/>
  <c r="E492" i="22"/>
  <c r="F492" i="22" s="1"/>
  <c r="E491" i="22"/>
  <c r="F491" i="22" s="1"/>
  <c r="E490" i="22"/>
  <c r="F490" i="22" s="1"/>
  <c r="E489" i="22"/>
  <c r="F489" i="22" s="1"/>
  <c r="E488" i="22"/>
  <c r="F488" i="22" s="1"/>
  <c r="E487" i="22"/>
  <c r="F487" i="22" s="1"/>
  <c r="E486" i="22"/>
  <c r="F486" i="22" s="1"/>
  <c r="E485" i="22"/>
  <c r="F485" i="22" s="1"/>
  <c r="E484" i="22"/>
  <c r="F484" i="22" s="1"/>
  <c r="E483" i="22"/>
  <c r="F483" i="22" s="1"/>
  <c r="E482" i="22"/>
  <c r="F482" i="22" s="1"/>
  <c r="E481" i="22"/>
  <c r="F481" i="22" s="1"/>
  <c r="E480" i="22"/>
  <c r="F480" i="22" s="1"/>
  <c r="E479" i="22"/>
  <c r="F479" i="22" s="1"/>
  <c r="E478" i="22"/>
  <c r="F478" i="22" s="1"/>
  <c r="E477" i="22"/>
  <c r="F477" i="22" s="1"/>
  <c r="E476" i="22"/>
  <c r="F476" i="22" s="1"/>
  <c r="E475" i="22"/>
  <c r="F475" i="22" s="1"/>
  <c r="E474" i="22"/>
  <c r="F474" i="22" s="1"/>
  <c r="E473" i="22"/>
  <c r="F473" i="22" s="1"/>
  <c r="E472" i="22"/>
  <c r="F472" i="22" s="1"/>
  <c r="E471" i="22"/>
  <c r="F471" i="22" s="1"/>
  <c r="E470" i="22"/>
  <c r="F470" i="22" s="1"/>
  <c r="E469" i="22"/>
  <c r="F469" i="22" s="1"/>
  <c r="E468" i="22"/>
  <c r="F468" i="22" s="1"/>
  <c r="E467" i="22"/>
  <c r="F467" i="22" s="1"/>
  <c r="E466" i="22"/>
  <c r="F466" i="22" s="1"/>
  <c r="E465" i="22"/>
  <c r="F465" i="22" s="1"/>
  <c r="E464" i="22"/>
  <c r="F464" i="22" s="1"/>
  <c r="E463" i="22"/>
  <c r="F463" i="22" s="1"/>
  <c r="E462" i="22"/>
  <c r="F462" i="22" s="1"/>
  <c r="E461" i="22"/>
  <c r="F461" i="22" s="1"/>
  <c r="E460" i="22"/>
  <c r="F460" i="22" s="1"/>
  <c r="E459" i="22"/>
  <c r="F459" i="22" s="1"/>
  <c r="E458" i="22"/>
  <c r="F458" i="22" s="1"/>
  <c r="E457" i="22"/>
  <c r="F457" i="22" s="1"/>
  <c r="E456" i="22"/>
  <c r="F456" i="22" s="1"/>
  <c r="E455" i="22"/>
  <c r="F455" i="22" s="1"/>
  <c r="E454" i="22"/>
  <c r="F454" i="22" s="1"/>
  <c r="E453" i="22"/>
  <c r="F453" i="22" s="1"/>
  <c r="E452" i="22"/>
  <c r="F452" i="22" s="1"/>
  <c r="E451" i="22"/>
  <c r="F451" i="22" s="1"/>
  <c r="E450" i="22"/>
  <c r="F450" i="22" s="1"/>
  <c r="E449" i="22"/>
  <c r="F449" i="22" s="1"/>
  <c r="E448" i="22"/>
  <c r="F448" i="22" s="1"/>
  <c r="E447" i="22"/>
  <c r="F447" i="22" s="1"/>
  <c r="E446" i="22"/>
  <c r="F446" i="22" s="1"/>
  <c r="E445" i="22"/>
  <c r="F445" i="22" s="1"/>
  <c r="E444" i="22"/>
  <c r="F444" i="22" s="1"/>
  <c r="E443" i="22"/>
  <c r="F443" i="22" s="1"/>
  <c r="E442" i="22"/>
  <c r="F442" i="22" s="1"/>
  <c r="E441" i="22"/>
  <c r="F441" i="22" s="1"/>
  <c r="E440" i="22"/>
  <c r="F440" i="22" s="1"/>
  <c r="E439" i="22"/>
  <c r="F439" i="22" s="1"/>
  <c r="E438" i="22"/>
  <c r="F438" i="22" s="1"/>
  <c r="E437" i="22"/>
  <c r="F437" i="22" s="1"/>
  <c r="E436" i="22"/>
  <c r="F436" i="22" s="1"/>
  <c r="E435" i="22"/>
  <c r="F435" i="22" s="1"/>
  <c r="E434" i="22"/>
  <c r="F434" i="22" s="1"/>
  <c r="E433" i="22"/>
  <c r="F433" i="22" s="1"/>
  <c r="E432" i="22"/>
  <c r="F432" i="22" s="1"/>
  <c r="E431" i="22"/>
  <c r="F431" i="22" s="1"/>
  <c r="E430" i="22"/>
  <c r="F430" i="22" s="1"/>
  <c r="E429" i="22"/>
  <c r="F429" i="22" s="1"/>
  <c r="E428" i="22"/>
  <c r="F428" i="22" s="1"/>
  <c r="E427" i="22"/>
  <c r="F427" i="22" s="1"/>
  <c r="E426" i="22"/>
  <c r="F426" i="22" s="1"/>
  <c r="E425" i="22"/>
  <c r="F425" i="22" s="1"/>
  <c r="E424" i="22"/>
  <c r="F424" i="22" s="1"/>
  <c r="E423" i="22"/>
  <c r="F423" i="22" s="1"/>
  <c r="E422" i="22"/>
  <c r="F422" i="22" s="1"/>
  <c r="E421" i="22"/>
  <c r="F421" i="22" s="1"/>
  <c r="E420" i="22"/>
  <c r="F420" i="22" s="1"/>
  <c r="E419" i="22"/>
  <c r="F419" i="22" s="1"/>
  <c r="E418" i="22"/>
  <c r="F418" i="22" s="1"/>
  <c r="E417" i="22"/>
  <c r="F417" i="22" s="1"/>
  <c r="E416" i="22"/>
  <c r="F416" i="22" s="1"/>
  <c r="E415" i="22"/>
  <c r="F415" i="22" s="1"/>
  <c r="E414" i="22"/>
  <c r="F414" i="22" s="1"/>
  <c r="E413" i="22"/>
  <c r="F413" i="22" s="1"/>
  <c r="E412" i="22"/>
  <c r="F412" i="22" s="1"/>
  <c r="E411" i="22"/>
  <c r="F411" i="22" s="1"/>
  <c r="E410" i="22"/>
  <c r="F410" i="22" s="1"/>
  <c r="E409" i="22"/>
  <c r="F409" i="22" s="1"/>
  <c r="E408" i="22"/>
  <c r="F408" i="22" s="1"/>
  <c r="E407" i="22"/>
  <c r="F407" i="22" s="1"/>
  <c r="E406" i="22"/>
  <c r="F406" i="22" s="1"/>
  <c r="E405" i="22"/>
  <c r="F405" i="22" s="1"/>
  <c r="E404" i="22"/>
  <c r="F404" i="22" s="1"/>
  <c r="E403" i="22"/>
  <c r="F403" i="22" s="1"/>
  <c r="E402" i="22"/>
  <c r="F402" i="22" s="1"/>
  <c r="E401" i="22"/>
  <c r="F401" i="22" s="1"/>
  <c r="E400" i="22"/>
  <c r="F400" i="22" s="1"/>
  <c r="E399" i="22"/>
  <c r="F399" i="22" s="1"/>
  <c r="E398" i="22"/>
  <c r="F398" i="22" s="1"/>
  <c r="E397" i="22"/>
  <c r="F397" i="22" s="1"/>
  <c r="E396" i="22"/>
  <c r="F396" i="22" s="1"/>
  <c r="E395" i="22"/>
  <c r="F395" i="22" s="1"/>
  <c r="E394" i="22"/>
  <c r="F394" i="22" s="1"/>
  <c r="E393" i="22"/>
  <c r="F393" i="22" s="1"/>
  <c r="E392" i="22"/>
  <c r="F392" i="22" s="1"/>
  <c r="E391" i="22"/>
  <c r="F391" i="22" s="1"/>
  <c r="E390" i="22"/>
  <c r="F390" i="22" s="1"/>
  <c r="E389" i="22"/>
  <c r="F389" i="22" s="1"/>
  <c r="E388" i="22"/>
  <c r="F388" i="22" s="1"/>
  <c r="E387" i="22"/>
  <c r="F387" i="22" s="1"/>
  <c r="E386" i="22"/>
  <c r="F386" i="22" s="1"/>
  <c r="E385" i="22"/>
  <c r="F385" i="22" s="1"/>
  <c r="E384" i="22"/>
  <c r="F384" i="22" s="1"/>
  <c r="E383" i="22"/>
  <c r="F383" i="22" s="1"/>
  <c r="E382" i="22"/>
  <c r="F382" i="22" s="1"/>
  <c r="E381" i="22"/>
  <c r="F381" i="22" s="1"/>
  <c r="E380" i="22"/>
  <c r="F380" i="22" s="1"/>
  <c r="E379" i="22"/>
  <c r="F379" i="22" s="1"/>
  <c r="E378" i="22"/>
  <c r="F378" i="22" s="1"/>
  <c r="E377" i="22"/>
  <c r="F377" i="22" s="1"/>
  <c r="E376" i="22"/>
  <c r="F376" i="22" s="1"/>
  <c r="E375" i="22"/>
  <c r="F375" i="22" s="1"/>
  <c r="E374" i="22"/>
  <c r="F374" i="22" s="1"/>
  <c r="E373" i="22"/>
  <c r="F373" i="22" s="1"/>
  <c r="E372" i="22"/>
  <c r="F372" i="22" s="1"/>
  <c r="E371" i="22"/>
  <c r="F371" i="22" s="1"/>
  <c r="E370" i="22"/>
  <c r="F370" i="22" s="1"/>
  <c r="E369" i="22"/>
  <c r="F369" i="22" s="1"/>
  <c r="E368" i="22"/>
  <c r="F368" i="22" s="1"/>
  <c r="E367" i="22"/>
  <c r="F367" i="22" s="1"/>
  <c r="E366" i="22"/>
  <c r="F366" i="22" s="1"/>
  <c r="E365" i="22"/>
  <c r="F365" i="22" s="1"/>
  <c r="E364" i="22"/>
  <c r="F364" i="22" s="1"/>
  <c r="E363" i="22"/>
  <c r="F363" i="22" s="1"/>
  <c r="E362" i="22"/>
  <c r="F362" i="22" s="1"/>
  <c r="E361" i="22"/>
  <c r="F361" i="22" s="1"/>
  <c r="E360" i="22"/>
  <c r="F360" i="22" s="1"/>
  <c r="E359" i="22"/>
  <c r="F359" i="22" s="1"/>
  <c r="E358" i="22"/>
  <c r="F358" i="22" s="1"/>
  <c r="E357" i="22"/>
  <c r="F357" i="22" s="1"/>
  <c r="E356" i="22"/>
  <c r="F356" i="22" s="1"/>
  <c r="E355" i="22"/>
  <c r="F355" i="22" s="1"/>
  <c r="E354" i="22"/>
  <c r="F354" i="22" s="1"/>
  <c r="E353" i="22"/>
  <c r="F353" i="22" s="1"/>
  <c r="E352" i="22"/>
  <c r="F352" i="22" s="1"/>
  <c r="E351" i="22"/>
  <c r="F351" i="22" s="1"/>
  <c r="E350" i="22"/>
  <c r="F350" i="22" s="1"/>
  <c r="E349" i="22"/>
  <c r="F349" i="22" s="1"/>
  <c r="E348" i="22"/>
  <c r="F348" i="22" s="1"/>
  <c r="E347" i="22"/>
  <c r="F347" i="22" s="1"/>
  <c r="E346" i="22"/>
  <c r="F346" i="22" s="1"/>
  <c r="E345" i="22"/>
  <c r="F345" i="22" s="1"/>
  <c r="E344" i="22"/>
  <c r="F344" i="22" s="1"/>
  <c r="E343" i="22"/>
  <c r="F343" i="22" s="1"/>
  <c r="E342" i="22"/>
  <c r="F342" i="22" s="1"/>
  <c r="E341" i="22"/>
  <c r="F341" i="22" s="1"/>
  <c r="E340" i="22"/>
  <c r="F340" i="22" s="1"/>
  <c r="E339" i="22"/>
  <c r="F339" i="22" s="1"/>
  <c r="E338" i="22"/>
  <c r="F338" i="22" s="1"/>
  <c r="E337" i="22"/>
  <c r="F337" i="22" s="1"/>
  <c r="E336" i="22"/>
  <c r="F336" i="22" s="1"/>
  <c r="E335" i="22"/>
  <c r="F335" i="22" s="1"/>
  <c r="E334" i="22"/>
  <c r="F334" i="22" s="1"/>
  <c r="E333" i="22"/>
  <c r="F333" i="22" s="1"/>
  <c r="E332" i="22"/>
  <c r="F332" i="22" s="1"/>
  <c r="E331" i="22"/>
  <c r="F331" i="22" s="1"/>
  <c r="E330" i="22"/>
  <c r="F330" i="22" s="1"/>
  <c r="E329" i="22"/>
  <c r="F329" i="22" s="1"/>
  <c r="E328" i="22"/>
  <c r="F328" i="22" s="1"/>
  <c r="E327" i="22"/>
  <c r="F327" i="22" s="1"/>
  <c r="E326" i="22"/>
  <c r="F326" i="22" s="1"/>
  <c r="E325" i="22"/>
  <c r="F325" i="22" s="1"/>
  <c r="E324" i="22"/>
  <c r="F324" i="22" s="1"/>
  <c r="E323" i="22"/>
  <c r="F323" i="22" s="1"/>
  <c r="E322" i="22"/>
  <c r="F322" i="22" s="1"/>
  <c r="E321" i="22"/>
  <c r="F321" i="22" s="1"/>
  <c r="E320" i="22"/>
  <c r="F320" i="22" s="1"/>
  <c r="E319" i="22"/>
  <c r="F319" i="22" s="1"/>
  <c r="E318" i="22"/>
  <c r="F318" i="22" s="1"/>
  <c r="E317" i="22"/>
  <c r="F317" i="22" s="1"/>
  <c r="E316" i="22"/>
  <c r="F316" i="22" s="1"/>
  <c r="E315" i="22"/>
  <c r="F315" i="22" s="1"/>
  <c r="E314" i="22"/>
  <c r="F314" i="22" s="1"/>
  <c r="E313" i="22"/>
  <c r="F313" i="22" s="1"/>
  <c r="E312" i="22"/>
  <c r="F312" i="22" s="1"/>
  <c r="E311" i="22"/>
  <c r="F311" i="22" s="1"/>
  <c r="E310" i="22"/>
  <c r="F310" i="22" s="1"/>
  <c r="E309" i="22"/>
  <c r="F309" i="22" s="1"/>
  <c r="E308" i="22"/>
  <c r="F308" i="22" s="1"/>
  <c r="E307" i="22"/>
  <c r="F307" i="22" s="1"/>
  <c r="E306" i="22"/>
  <c r="F306" i="22" s="1"/>
  <c r="E305" i="22"/>
  <c r="F305" i="22" s="1"/>
  <c r="E304" i="22"/>
  <c r="F304" i="22" s="1"/>
  <c r="E303" i="22"/>
  <c r="F303" i="22" s="1"/>
  <c r="E302" i="22"/>
  <c r="F302" i="22" s="1"/>
  <c r="E301" i="22"/>
  <c r="F301" i="22" s="1"/>
  <c r="E300" i="22"/>
  <c r="F300" i="22" s="1"/>
  <c r="E299" i="22"/>
  <c r="F299" i="22" s="1"/>
  <c r="E298" i="22"/>
  <c r="F298" i="22" s="1"/>
  <c r="E297" i="22"/>
  <c r="F297" i="22" s="1"/>
  <c r="E296" i="22"/>
  <c r="F296" i="22" s="1"/>
  <c r="E295" i="22"/>
  <c r="F295" i="22" s="1"/>
  <c r="E294" i="22"/>
  <c r="F294" i="22" s="1"/>
  <c r="E293" i="22"/>
  <c r="F293" i="22" s="1"/>
  <c r="E292" i="22"/>
  <c r="F292" i="22" s="1"/>
  <c r="E291" i="22"/>
  <c r="F291" i="22" s="1"/>
  <c r="E290" i="22"/>
  <c r="F290" i="22" s="1"/>
  <c r="E289" i="22"/>
  <c r="F289" i="22" s="1"/>
  <c r="E288" i="22"/>
  <c r="F288" i="22" s="1"/>
  <c r="E287" i="22"/>
  <c r="F287" i="22" s="1"/>
  <c r="E286" i="22"/>
  <c r="F286" i="22" s="1"/>
  <c r="E285" i="22"/>
  <c r="F285" i="22" s="1"/>
  <c r="E284" i="22"/>
  <c r="F284" i="22" s="1"/>
  <c r="E283" i="22"/>
  <c r="F283" i="22" s="1"/>
  <c r="E282" i="22"/>
  <c r="F282" i="22" s="1"/>
  <c r="E281" i="22"/>
  <c r="F281" i="22" s="1"/>
  <c r="E280" i="22"/>
  <c r="F280" i="22" s="1"/>
  <c r="E279" i="22"/>
  <c r="F279" i="22" s="1"/>
  <c r="E278" i="22"/>
  <c r="F278" i="22" s="1"/>
  <c r="E277" i="22"/>
  <c r="F277" i="22" s="1"/>
  <c r="E276" i="22"/>
  <c r="F276" i="22" s="1"/>
  <c r="E275" i="22"/>
  <c r="F275" i="22" s="1"/>
  <c r="E274" i="22"/>
  <c r="F274" i="22" s="1"/>
  <c r="E273" i="22"/>
  <c r="F273" i="22" s="1"/>
  <c r="E272" i="22"/>
  <c r="F272" i="22" s="1"/>
  <c r="E271" i="22"/>
  <c r="F271" i="22" s="1"/>
  <c r="E270" i="22"/>
  <c r="F270" i="22" s="1"/>
  <c r="E269" i="22"/>
  <c r="F269" i="22" s="1"/>
  <c r="E268" i="22"/>
  <c r="F268" i="22" s="1"/>
  <c r="E267" i="22"/>
  <c r="F267" i="22" s="1"/>
  <c r="E266" i="22"/>
  <c r="F266" i="22" s="1"/>
  <c r="E265" i="22"/>
  <c r="F265" i="22" s="1"/>
  <c r="E264" i="22"/>
  <c r="F264" i="22" s="1"/>
  <c r="E263" i="22"/>
  <c r="F263" i="22" s="1"/>
  <c r="E262" i="22"/>
  <c r="F262" i="22" s="1"/>
  <c r="E261" i="22"/>
  <c r="F261" i="22" s="1"/>
  <c r="E260" i="22"/>
  <c r="F260" i="22" s="1"/>
  <c r="E259" i="22"/>
  <c r="F259" i="22" s="1"/>
  <c r="E258" i="22"/>
  <c r="F258" i="22" s="1"/>
  <c r="E257" i="22"/>
  <c r="F257" i="22" s="1"/>
  <c r="E256" i="22"/>
  <c r="F256" i="22" s="1"/>
  <c r="E255" i="22"/>
  <c r="F255" i="22" s="1"/>
  <c r="E254" i="22"/>
  <c r="F254" i="22" s="1"/>
  <c r="E253" i="22"/>
  <c r="F253" i="22" s="1"/>
  <c r="E252" i="22"/>
  <c r="F252" i="22" s="1"/>
  <c r="E251" i="22"/>
  <c r="F251" i="22" s="1"/>
  <c r="E250" i="22"/>
  <c r="F250" i="22" s="1"/>
  <c r="E249" i="22"/>
  <c r="F249" i="22" s="1"/>
  <c r="E248" i="22"/>
  <c r="F248" i="22" s="1"/>
  <c r="E247" i="22"/>
  <c r="F247" i="22" s="1"/>
  <c r="E246" i="22"/>
  <c r="F246" i="22" s="1"/>
  <c r="E245" i="22"/>
  <c r="F245" i="22" s="1"/>
  <c r="E244" i="22"/>
  <c r="F244" i="22" s="1"/>
  <c r="E243" i="22"/>
  <c r="F243" i="22" s="1"/>
  <c r="E242" i="22"/>
  <c r="F242" i="22" s="1"/>
  <c r="E241" i="22"/>
  <c r="F241" i="22" s="1"/>
  <c r="E240" i="22"/>
  <c r="F240" i="22" s="1"/>
  <c r="E239" i="22"/>
  <c r="F239" i="22" s="1"/>
  <c r="E238" i="22"/>
  <c r="F238" i="22" s="1"/>
  <c r="E237" i="22"/>
  <c r="F237" i="22" s="1"/>
  <c r="E236" i="22"/>
  <c r="F236" i="22" s="1"/>
  <c r="E235" i="22"/>
  <c r="F235" i="22" s="1"/>
  <c r="E234" i="22"/>
  <c r="F234" i="22" s="1"/>
  <c r="E233" i="22"/>
  <c r="F233" i="22" s="1"/>
  <c r="E232" i="22"/>
  <c r="F232" i="22" s="1"/>
  <c r="E231" i="22"/>
  <c r="F231" i="22" s="1"/>
  <c r="E230" i="22"/>
  <c r="F230" i="22" s="1"/>
  <c r="E229" i="22"/>
  <c r="F229" i="22" s="1"/>
  <c r="E228" i="22"/>
  <c r="F228" i="22" s="1"/>
  <c r="E227" i="22"/>
  <c r="F227" i="22" s="1"/>
  <c r="E226" i="22"/>
  <c r="F226" i="22" s="1"/>
  <c r="E225" i="22"/>
  <c r="F225" i="22" s="1"/>
  <c r="E224" i="22"/>
  <c r="F224" i="22" s="1"/>
  <c r="E223" i="22"/>
  <c r="F223" i="22" s="1"/>
  <c r="E222" i="22"/>
  <c r="F222" i="22" s="1"/>
  <c r="E221" i="22"/>
  <c r="F221" i="22" s="1"/>
  <c r="E220" i="22"/>
  <c r="F220" i="22" s="1"/>
  <c r="E219" i="22"/>
  <c r="F219" i="22" s="1"/>
  <c r="E218" i="22"/>
  <c r="F218" i="22" s="1"/>
  <c r="E217" i="22"/>
  <c r="F217" i="22" s="1"/>
  <c r="E216" i="22"/>
  <c r="F216" i="22" s="1"/>
  <c r="E215" i="22"/>
  <c r="F215" i="22" s="1"/>
  <c r="E214" i="22"/>
  <c r="F214" i="22" s="1"/>
  <c r="E213" i="22"/>
  <c r="F213" i="22" s="1"/>
  <c r="E212" i="22"/>
  <c r="F212" i="22" s="1"/>
  <c r="E211" i="22"/>
  <c r="F211" i="22" s="1"/>
  <c r="E210" i="22"/>
  <c r="F210" i="22" s="1"/>
  <c r="E209" i="22"/>
  <c r="F209" i="22" s="1"/>
  <c r="E208" i="22"/>
  <c r="F208" i="22" s="1"/>
  <c r="E207" i="22"/>
  <c r="F207" i="22" s="1"/>
  <c r="E206" i="22"/>
  <c r="F206" i="22" s="1"/>
  <c r="E205" i="22"/>
  <c r="F205" i="22" s="1"/>
  <c r="E204" i="22"/>
  <c r="F204" i="22" s="1"/>
  <c r="E203" i="22"/>
  <c r="F203" i="22" s="1"/>
  <c r="E202" i="22"/>
  <c r="F202" i="22" s="1"/>
  <c r="E201" i="22"/>
  <c r="F201" i="22" s="1"/>
  <c r="E200" i="22"/>
  <c r="F200" i="22" s="1"/>
  <c r="E199" i="22"/>
  <c r="F199" i="22" s="1"/>
  <c r="E198" i="22"/>
  <c r="F198" i="22" s="1"/>
  <c r="E197" i="22"/>
  <c r="F197" i="22" s="1"/>
  <c r="E196" i="22"/>
  <c r="F196" i="22" s="1"/>
  <c r="E195" i="22"/>
  <c r="F195" i="22" s="1"/>
  <c r="E194" i="22"/>
  <c r="F194" i="22" s="1"/>
  <c r="E193" i="22"/>
  <c r="F193" i="22" s="1"/>
  <c r="E192" i="22"/>
  <c r="F192" i="22" s="1"/>
  <c r="E191" i="22"/>
  <c r="F191" i="22" s="1"/>
  <c r="E190" i="22"/>
  <c r="F190" i="22" s="1"/>
  <c r="E189" i="22"/>
  <c r="F189" i="22" s="1"/>
  <c r="E188" i="22"/>
  <c r="F188" i="22" s="1"/>
  <c r="E187" i="22"/>
  <c r="F187" i="22" s="1"/>
  <c r="E186" i="22"/>
  <c r="F186" i="22" s="1"/>
  <c r="E185" i="22"/>
  <c r="F185" i="22" s="1"/>
  <c r="E184" i="22"/>
  <c r="F184" i="22" s="1"/>
  <c r="E183" i="22"/>
  <c r="F183" i="22" s="1"/>
  <c r="E182" i="22"/>
  <c r="F182" i="22" s="1"/>
  <c r="E181" i="22"/>
  <c r="F181" i="22" s="1"/>
  <c r="E180" i="22"/>
  <c r="F180" i="22" s="1"/>
  <c r="E179" i="22"/>
  <c r="F179" i="22" s="1"/>
  <c r="E178" i="22"/>
  <c r="F178" i="22" s="1"/>
  <c r="E177" i="22"/>
  <c r="F177" i="22" s="1"/>
  <c r="E176" i="22"/>
  <c r="F176" i="22" s="1"/>
  <c r="E175" i="22"/>
  <c r="F175" i="22" s="1"/>
  <c r="E174" i="22"/>
  <c r="F174" i="22" s="1"/>
  <c r="E173" i="22"/>
  <c r="F173" i="22" s="1"/>
  <c r="E172" i="22"/>
  <c r="F172" i="22" s="1"/>
  <c r="E171" i="22"/>
  <c r="F171" i="22" s="1"/>
  <c r="E170" i="22"/>
  <c r="F170" i="22" s="1"/>
  <c r="E169" i="22"/>
  <c r="F169" i="22" s="1"/>
  <c r="E168" i="22"/>
  <c r="F168" i="22" s="1"/>
  <c r="E167" i="22"/>
  <c r="F167" i="22" s="1"/>
  <c r="E166" i="22"/>
  <c r="F166" i="22" s="1"/>
  <c r="E165" i="22"/>
  <c r="F165" i="22" s="1"/>
  <c r="E164" i="22"/>
  <c r="F164" i="22" s="1"/>
  <c r="E163" i="22"/>
  <c r="F163" i="22" s="1"/>
  <c r="E162" i="22"/>
  <c r="F162" i="22" s="1"/>
  <c r="E161" i="22"/>
  <c r="F161" i="22" s="1"/>
  <c r="E160" i="22"/>
  <c r="F160" i="22" s="1"/>
  <c r="E159" i="22"/>
  <c r="F159" i="22" s="1"/>
  <c r="E158" i="22"/>
  <c r="F158" i="22" s="1"/>
  <c r="E157" i="22"/>
  <c r="F157" i="22" s="1"/>
  <c r="E156" i="22"/>
  <c r="F156" i="22" s="1"/>
  <c r="E155" i="22"/>
  <c r="F155" i="22" s="1"/>
  <c r="E154" i="22"/>
  <c r="F154" i="22" s="1"/>
  <c r="E153" i="22"/>
  <c r="F153" i="22" s="1"/>
  <c r="E152" i="22"/>
  <c r="F152" i="22" s="1"/>
  <c r="E151" i="22"/>
  <c r="F151" i="22" s="1"/>
  <c r="E150" i="22"/>
  <c r="F150" i="22" s="1"/>
  <c r="E149" i="22"/>
  <c r="F149" i="22" s="1"/>
  <c r="E148" i="22"/>
  <c r="F148" i="22" s="1"/>
  <c r="E147" i="22"/>
  <c r="F147" i="22" s="1"/>
  <c r="E146" i="22"/>
  <c r="F146" i="22" s="1"/>
  <c r="E145" i="22"/>
  <c r="F145" i="22" s="1"/>
  <c r="E144" i="22"/>
  <c r="F144" i="22" s="1"/>
  <c r="E143" i="22"/>
  <c r="F143" i="22" s="1"/>
  <c r="E142" i="22"/>
  <c r="F142" i="22" s="1"/>
  <c r="E141" i="22"/>
  <c r="F141" i="22" s="1"/>
  <c r="E140" i="22"/>
  <c r="F140" i="22" s="1"/>
  <c r="E139" i="22"/>
  <c r="F139" i="22" s="1"/>
  <c r="E138" i="22"/>
  <c r="F138" i="22" s="1"/>
  <c r="E137" i="22"/>
  <c r="F137" i="22" s="1"/>
  <c r="E136" i="22"/>
  <c r="F136" i="22" s="1"/>
  <c r="E135" i="22"/>
  <c r="F135" i="22" s="1"/>
  <c r="E134" i="22"/>
  <c r="F134" i="22" s="1"/>
  <c r="E133" i="22"/>
  <c r="F133" i="22" s="1"/>
  <c r="E132" i="22"/>
  <c r="F132" i="22" s="1"/>
  <c r="E131" i="22"/>
  <c r="F131" i="22" s="1"/>
  <c r="E130" i="22"/>
  <c r="F130" i="22" s="1"/>
  <c r="E129" i="22"/>
  <c r="F129" i="22" s="1"/>
  <c r="E128" i="22"/>
  <c r="F128" i="22" s="1"/>
  <c r="E127" i="22"/>
  <c r="F127" i="22" s="1"/>
  <c r="E126" i="22"/>
  <c r="F126" i="22" s="1"/>
  <c r="E125" i="22"/>
  <c r="F125" i="22" s="1"/>
  <c r="E124" i="22"/>
  <c r="F124" i="22" s="1"/>
  <c r="E123" i="22"/>
  <c r="F123" i="22" s="1"/>
  <c r="E122" i="22"/>
  <c r="F122" i="22" s="1"/>
  <c r="E121" i="22"/>
  <c r="F121" i="22" s="1"/>
  <c r="E120" i="22"/>
  <c r="F120" i="22" s="1"/>
  <c r="E119" i="22"/>
  <c r="F119" i="22" s="1"/>
  <c r="E118" i="22"/>
  <c r="F118" i="22" s="1"/>
  <c r="E117" i="22"/>
  <c r="F117" i="22" s="1"/>
  <c r="E116" i="22"/>
  <c r="F116" i="22" s="1"/>
  <c r="E115" i="22"/>
  <c r="F115" i="22" s="1"/>
  <c r="E114" i="22"/>
  <c r="F114" i="22" s="1"/>
  <c r="E113" i="22"/>
  <c r="F113" i="22" s="1"/>
  <c r="E112" i="22"/>
  <c r="F112" i="22" s="1"/>
  <c r="E111" i="22"/>
  <c r="F111" i="22" s="1"/>
  <c r="E110" i="22"/>
  <c r="F110" i="22" s="1"/>
  <c r="E109" i="22"/>
  <c r="F109" i="22" s="1"/>
  <c r="E108" i="22"/>
  <c r="F108" i="22" s="1"/>
  <c r="E107" i="22"/>
  <c r="F107" i="22" s="1"/>
  <c r="E106" i="22"/>
  <c r="F106" i="22" s="1"/>
  <c r="E105" i="22"/>
  <c r="F105" i="22" s="1"/>
  <c r="E104" i="22"/>
  <c r="F104" i="22" s="1"/>
  <c r="E103" i="22"/>
  <c r="F103" i="22" s="1"/>
  <c r="E102" i="22"/>
  <c r="F102" i="22" s="1"/>
  <c r="E101" i="22"/>
  <c r="F101" i="22" s="1"/>
  <c r="E100" i="22"/>
  <c r="F100" i="22" s="1"/>
  <c r="E99" i="22"/>
  <c r="F99" i="22" s="1"/>
  <c r="E98" i="22"/>
  <c r="F98" i="22" s="1"/>
  <c r="E97" i="22"/>
  <c r="F97" i="22" s="1"/>
  <c r="E96" i="22"/>
  <c r="F96" i="22" s="1"/>
  <c r="E95" i="22"/>
  <c r="F95" i="22" s="1"/>
  <c r="E94" i="22"/>
  <c r="F94" i="22" s="1"/>
  <c r="E93" i="22"/>
  <c r="F93" i="22" s="1"/>
  <c r="E92" i="22"/>
  <c r="F92" i="22" s="1"/>
  <c r="E91" i="22"/>
  <c r="F91" i="22" s="1"/>
  <c r="E90" i="22"/>
  <c r="F90" i="22" s="1"/>
  <c r="E89" i="22"/>
  <c r="F89" i="22" s="1"/>
  <c r="E88" i="22"/>
  <c r="F88" i="22" s="1"/>
  <c r="E87" i="22"/>
  <c r="F87" i="22" s="1"/>
  <c r="E86" i="22"/>
  <c r="F86" i="22" s="1"/>
  <c r="E85" i="22"/>
  <c r="F85" i="22" s="1"/>
  <c r="E83" i="22"/>
  <c r="F83" i="22" s="1"/>
  <c r="E81" i="22"/>
  <c r="F81" i="22" s="1"/>
  <c r="E80" i="22"/>
  <c r="F80" i="22" s="1"/>
  <c r="E77" i="22"/>
  <c r="F77" i="22" s="1"/>
  <c r="E75" i="22"/>
  <c r="F75" i="22" s="1"/>
  <c r="E73" i="22"/>
  <c r="F73" i="22" s="1"/>
  <c r="E72" i="22"/>
  <c r="F72" i="22" s="1"/>
  <c r="E71" i="22"/>
  <c r="F71" i="22" s="1"/>
  <c r="E70" i="22"/>
  <c r="F70" i="22" s="1"/>
  <c r="E69" i="22"/>
  <c r="F69" i="22" s="1"/>
  <c r="E67" i="22"/>
  <c r="F67" i="22" s="1"/>
  <c r="E66" i="22"/>
  <c r="F66" i="22" s="1"/>
  <c r="E65" i="22"/>
  <c r="F65" i="22" s="1"/>
  <c r="E64" i="22"/>
  <c r="F64" i="22" s="1"/>
  <c r="E63" i="22"/>
  <c r="F63" i="22" s="1"/>
  <c r="E62" i="22"/>
  <c r="F62" i="22" s="1"/>
  <c r="E61" i="22"/>
  <c r="F61" i="22" s="1"/>
  <c r="E60" i="22"/>
  <c r="F60" i="22" s="1"/>
  <c r="E59" i="22"/>
  <c r="F59" i="22" s="1"/>
  <c r="E58" i="22"/>
  <c r="F58" i="22" s="1"/>
  <c r="E56" i="22"/>
  <c r="F56" i="22" s="1"/>
  <c r="E55" i="22"/>
  <c r="F55" i="22" s="1"/>
  <c r="E53" i="22"/>
  <c r="F53" i="22" s="1"/>
  <c r="E51" i="22"/>
  <c r="F51" i="22" s="1"/>
  <c r="E50" i="22"/>
  <c r="F50" i="22" s="1"/>
  <c r="E49" i="22"/>
  <c r="F49" i="22" s="1"/>
  <c r="E48" i="22"/>
  <c r="F48" i="22" s="1"/>
  <c r="E47" i="22"/>
  <c r="F47" i="22" s="1"/>
  <c r="E46" i="22"/>
  <c r="F46" i="22" s="1"/>
  <c r="E45" i="22"/>
  <c r="F45" i="22" s="1"/>
  <c r="E43" i="22"/>
  <c r="F43" i="22" s="1"/>
  <c r="E41" i="22"/>
  <c r="F41" i="22" s="1"/>
  <c r="E40" i="22"/>
  <c r="F40" i="22" s="1"/>
  <c r="E37" i="22"/>
  <c r="F37" i="22" s="1"/>
  <c r="E35" i="22"/>
  <c r="F35" i="22" s="1"/>
  <c r="E34" i="22"/>
  <c r="F34" i="22" s="1"/>
  <c r="E33" i="22"/>
  <c r="F33" i="22" s="1"/>
  <c r="E32" i="22"/>
  <c r="F32" i="22" s="1"/>
  <c r="E30" i="22"/>
  <c r="F30" i="22" s="1"/>
  <c r="E29" i="22"/>
  <c r="F29" i="22" s="1"/>
  <c r="E28" i="22"/>
  <c r="F28" i="22" s="1"/>
  <c r="E27" i="22"/>
  <c r="F27" i="22" s="1"/>
  <c r="E25" i="22"/>
  <c r="F25" i="22" s="1"/>
  <c r="E23" i="22"/>
  <c r="F23" i="22" s="1"/>
  <c r="E22" i="22"/>
  <c r="F22" i="22" s="1"/>
  <c r="E21" i="22"/>
  <c r="F21" i="22" s="1"/>
  <c r="E20" i="22"/>
  <c r="F20" i="22" s="1"/>
  <c r="E18" i="22"/>
  <c r="F18" i="22" s="1"/>
  <c r="E17" i="22"/>
  <c r="F17" i="22" s="1"/>
  <c r="E16" i="22"/>
  <c r="F16" i="22" s="1"/>
  <c r="E15" i="22"/>
  <c r="F15" i="22" s="1"/>
  <c r="E14" i="22"/>
  <c r="F14" i="22" s="1"/>
  <c r="E13" i="22"/>
  <c r="F13" i="22" s="1"/>
  <c r="E11" i="22"/>
  <c r="F11" i="22" s="1"/>
  <c r="E10" i="22"/>
  <c r="F10" i="22" s="1"/>
  <c r="G42" i="13"/>
  <c r="E63" i="13"/>
  <c r="E42" i="13" s="1"/>
  <c r="F63" i="13"/>
  <c r="F42" i="13" s="1"/>
  <c r="G63" i="13"/>
  <c r="H63" i="13"/>
  <c r="H42" i="13" s="1"/>
  <c r="I63" i="13"/>
  <c r="I42" i="13" s="1"/>
  <c r="D41" i="12"/>
  <c r="I44" i="17"/>
  <c r="H44" i="17"/>
  <c r="I41" i="17"/>
  <c r="G39" i="17"/>
  <c r="G38" i="17"/>
  <c r="G37" i="17"/>
  <c r="F39" i="17"/>
  <c r="F38" i="17"/>
  <c r="F37" i="17"/>
  <c r="D39" i="17"/>
  <c r="D38" i="17"/>
  <c r="D37" i="17"/>
  <c r="D32" i="16"/>
  <c r="D31" i="16"/>
  <c r="D47" i="16" s="1"/>
  <c r="D17" i="17"/>
  <c r="D63" i="13"/>
  <c r="D42" i="13" s="1"/>
  <c r="I56" i="13"/>
  <c r="H56" i="13"/>
  <c r="I55" i="13"/>
  <c r="H55" i="13"/>
  <c r="I53" i="13"/>
  <c r="H53" i="13"/>
  <c r="I52" i="13"/>
  <c r="H52" i="13"/>
  <c r="I51" i="13"/>
  <c r="H51" i="13"/>
  <c r="I28" i="13"/>
  <c r="I29" i="13" s="1"/>
  <c r="K29" i="13" s="1"/>
  <c r="H28" i="13"/>
  <c r="I17" i="13"/>
  <c r="H17" i="13"/>
  <c r="C596" i="5"/>
  <c r="C509" i="5"/>
  <c r="C266" i="5"/>
  <c r="C251" i="5"/>
  <c r="C236" i="5"/>
  <c r="C235" i="5"/>
  <c r="C234" i="5"/>
  <c r="C233" i="5"/>
  <c r="C232" i="5"/>
  <c r="C231" i="5"/>
  <c r="C226" i="5"/>
  <c r="U256" i="5"/>
  <c r="P636" i="5"/>
  <c r="C448" i="5"/>
  <c r="D448" i="5"/>
  <c r="S379" i="5"/>
  <c r="C35" i="21"/>
  <c r="D35" i="21"/>
  <c r="D34" i="21"/>
  <c r="C34" i="21"/>
  <c r="I34" i="21"/>
  <c r="J34" i="21" s="1"/>
  <c r="G34" i="21"/>
  <c r="H34" i="21" s="1"/>
  <c r="E34" i="21"/>
  <c r="F34" i="21" s="1"/>
  <c r="I10" i="21"/>
  <c r="J7" i="21"/>
  <c r="H7" i="21"/>
  <c r="I3" i="21"/>
  <c r="I7" i="21" s="1"/>
  <c r="G3" i="21"/>
  <c r="G7" i="21" s="1"/>
  <c r="H57" i="13" l="1"/>
  <c r="H40" i="13" s="1"/>
  <c r="I57" i="13"/>
  <c r="I40" i="13" s="1"/>
  <c r="I36" i="21"/>
  <c r="G36" i="21"/>
  <c r="J39" i="21"/>
  <c r="J38" i="21"/>
  <c r="J36" i="21"/>
  <c r="H36" i="21"/>
  <c r="K36" i="21" l="1"/>
  <c r="G39" i="21"/>
  <c r="G38" i="21"/>
  <c r="B36" i="21"/>
  <c r="U295" i="5" l="1"/>
  <c r="U294" i="5"/>
  <c r="P209" i="5"/>
  <c r="C680" i="5"/>
  <c r="B282" i="5"/>
  <c r="D187" i="5"/>
  <c r="R835" i="5"/>
  <c r="R739" i="5"/>
  <c r="C691" i="5"/>
  <c r="E54" i="20"/>
  <c r="O21" i="20" l="1"/>
  <c r="N21" i="20"/>
  <c r="M21" i="20"/>
  <c r="M18" i="20"/>
  <c r="M19" i="20" s="1"/>
  <c r="L18" i="20"/>
  <c r="L19" i="20" s="1"/>
  <c r="M10" i="20"/>
  <c r="M13" i="20"/>
  <c r="D43" i="20"/>
  <c r="E42" i="20"/>
  <c r="E43" i="20" s="1"/>
  <c r="E39" i="20"/>
  <c r="E37" i="20"/>
  <c r="D37" i="20"/>
  <c r="E32" i="20"/>
  <c r="D32" i="20"/>
  <c r="E24" i="20"/>
  <c r="D24" i="20"/>
  <c r="E23" i="20"/>
  <c r="E22" i="20"/>
  <c r="E21" i="20"/>
  <c r="E15" i="20"/>
  <c r="D15" i="20"/>
  <c r="E9" i="20"/>
  <c r="E50" i="20" s="1"/>
  <c r="E56" i="20" s="1"/>
  <c r="E60" i="20" s="1"/>
  <c r="E64" i="20" s="1"/>
  <c r="D9" i="20"/>
  <c r="D50" i="20" s="1"/>
  <c r="D56" i="20" s="1"/>
  <c r="D60" i="20" s="1"/>
  <c r="D64" i="20" s="1"/>
  <c r="O18" i="20"/>
  <c r="O19" i="20" s="1"/>
  <c r="N18" i="20"/>
  <c r="N19" i="20" s="1"/>
  <c r="G47" i="20" s="1"/>
  <c r="G54" i="20"/>
  <c r="G43" i="20"/>
  <c r="F43" i="20"/>
  <c r="G37" i="20"/>
  <c r="F37" i="20"/>
  <c r="G32" i="20"/>
  <c r="F32" i="20"/>
  <c r="G24" i="20"/>
  <c r="F24" i="20"/>
  <c r="G15" i="20"/>
  <c r="F15" i="20"/>
  <c r="G9" i="20"/>
  <c r="F9" i="20"/>
  <c r="F50" i="20" s="1"/>
  <c r="F56" i="20" s="1"/>
  <c r="F60" i="20" s="1"/>
  <c r="F64" i="20" s="1"/>
  <c r="L21" i="20" l="1"/>
  <c r="G50" i="20"/>
  <c r="G56" i="20" s="1"/>
  <c r="G60" i="20" s="1"/>
  <c r="G64" i="20" s="1"/>
  <c r="G70" i="20" s="1"/>
  <c r="G73" i="20" s="1"/>
  <c r="M180" i="5" l="1"/>
  <c r="J180" i="5"/>
  <c r="B180" i="5"/>
  <c r="F180" i="5" s="1"/>
  <c r="O180" i="5" s="1"/>
  <c r="T947" i="5"/>
  <c r="U948" i="5" s="1"/>
  <c r="M946" i="5"/>
  <c r="J946" i="5"/>
  <c r="B946" i="5"/>
  <c r="F946" i="5" s="1"/>
  <c r="O946" i="5" s="1"/>
  <c r="C774" i="5"/>
  <c r="C709" i="5"/>
  <c r="E180" i="5" l="1"/>
  <c r="E946" i="5"/>
  <c r="C490" i="5"/>
  <c r="D490" i="5"/>
  <c r="C632" i="5"/>
  <c r="D632" i="5"/>
  <c r="H632" i="5"/>
  <c r="I632" i="5"/>
  <c r="K632" i="5"/>
  <c r="L632" i="5"/>
  <c r="M630" i="5"/>
  <c r="J630" i="5"/>
  <c r="B630" i="5"/>
  <c r="F630" i="5" s="1"/>
  <c r="O630" i="5" s="1"/>
  <c r="R593" i="5"/>
  <c r="T561" i="5"/>
  <c r="R556" i="5"/>
  <c r="S556" i="5" s="1"/>
  <c r="N180" i="5" l="1"/>
  <c r="P180" i="5" s="1"/>
  <c r="G180" i="5"/>
  <c r="G946" i="5"/>
  <c r="N946" i="5"/>
  <c r="P946" i="5" s="1"/>
  <c r="E630" i="5"/>
  <c r="N630" i="5" l="1"/>
  <c r="P630" i="5" s="1"/>
  <c r="G630" i="5"/>
  <c r="C485" i="5" l="1"/>
  <c r="R470" i="5"/>
  <c r="D470" i="5"/>
  <c r="S469" i="5"/>
  <c r="R469" i="5"/>
  <c r="D469" i="5"/>
  <c r="C492" i="5"/>
  <c r="C779" i="5"/>
  <c r="R779" i="5"/>
  <c r="C714" i="5"/>
  <c r="R714" i="5"/>
  <c r="C860" i="5"/>
  <c r="R860" i="5"/>
  <c r="T469" i="5" l="1"/>
  <c r="H17" i="19"/>
  <c r="G17" i="19"/>
  <c r="F17" i="19"/>
  <c r="G13" i="19"/>
  <c r="F13" i="19"/>
  <c r="H8" i="19" l="1"/>
  <c r="H7" i="19"/>
  <c r="H6" i="19"/>
  <c r="G8" i="19"/>
  <c r="F8" i="19"/>
  <c r="S347" i="5" l="1"/>
  <c r="S348" i="5"/>
  <c r="C614" i="5"/>
  <c r="M643" i="5"/>
  <c r="J643" i="5"/>
  <c r="B643" i="5"/>
  <c r="F643" i="5" s="1"/>
  <c r="O643" i="5" s="1"/>
  <c r="E643" i="5" l="1"/>
  <c r="B578" i="5"/>
  <c r="O578" i="5"/>
  <c r="N578" i="5"/>
  <c r="M578" i="5"/>
  <c r="L578" i="5"/>
  <c r="K578" i="5"/>
  <c r="J578" i="5"/>
  <c r="I578" i="5"/>
  <c r="H578" i="5"/>
  <c r="G578" i="5"/>
  <c r="F578" i="5"/>
  <c r="E578" i="5"/>
  <c r="D578" i="5"/>
  <c r="C578" i="5"/>
  <c r="P577" i="5"/>
  <c r="P578" i="5" s="1"/>
  <c r="B577" i="5"/>
  <c r="R350" i="5"/>
  <c r="C350" i="5"/>
  <c r="N643" i="5" l="1"/>
  <c r="P643" i="5" s="1"/>
  <c r="G643" i="5"/>
  <c r="D247" i="5"/>
  <c r="C146" i="5"/>
  <c r="D146" i="5"/>
  <c r="I18" i="18"/>
  <c r="I12" i="18"/>
  <c r="D402" i="7"/>
  <c r="C402" i="7"/>
  <c r="D192" i="8"/>
  <c r="C192" i="8"/>
  <c r="D149" i="2"/>
  <c r="C149" i="2"/>
  <c r="D988" i="5"/>
  <c r="C988" i="5"/>
  <c r="D985" i="5"/>
  <c r="C985" i="5"/>
  <c r="D981" i="5"/>
  <c r="C981" i="5"/>
  <c r="D974" i="5"/>
  <c r="C974" i="5"/>
  <c r="D971" i="5"/>
  <c r="C971" i="5"/>
  <c r="D966" i="5"/>
  <c r="C966" i="5"/>
  <c r="D963" i="5"/>
  <c r="C963" i="5"/>
  <c r="D959" i="5"/>
  <c r="C959" i="5"/>
  <c r="D953" i="5"/>
  <c r="C953" i="5"/>
  <c r="D948" i="5"/>
  <c r="C948" i="5"/>
  <c r="D941" i="5"/>
  <c r="C941" i="5"/>
  <c r="D938" i="5"/>
  <c r="C938" i="5"/>
  <c r="D931" i="5"/>
  <c r="C931" i="5"/>
  <c r="D927" i="5"/>
  <c r="C927" i="5"/>
  <c r="D922" i="5"/>
  <c r="C922" i="5"/>
  <c r="D909" i="5"/>
  <c r="D911" i="5" s="1"/>
  <c r="C909" i="5"/>
  <c r="C911" i="5" s="1"/>
  <c r="D904" i="5"/>
  <c r="D906" i="5" s="1"/>
  <c r="C904" i="5"/>
  <c r="C906" i="5" s="1"/>
  <c r="D898" i="5"/>
  <c r="D900" i="5" s="1"/>
  <c r="C898" i="5"/>
  <c r="C900" i="5" s="1"/>
  <c r="D892" i="5"/>
  <c r="D894" i="5" s="1"/>
  <c r="C892" i="5"/>
  <c r="C894" i="5" s="1"/>
  <c r="D882" i="5"/>
  <c r="D884" i="5" s="1"/>
  <c r="C882" i="5"/>
  <c r="C884" i="5" s="1"/>
  <c r="D877" i="5"/>
  <c r="D879" i="5" s="1"/>
  <c r="C877" i="5"/>
  <c r="C879" i="5" s="1"/>
  <c r="D872" i="5"/>
  <c r="D874" i="5" s="1"/>
  <c r="C872" i="5"/>
  <c r="C874" i="5" s="1"/>
  <c r="D866" i="5"/>
  <c r="D868" i="5" s="1"/>
  <c r="C866" i="5"/>
  <c r="C868" i="5" s="1"/>
  <c r="D861" i="5"/>
  <c r="D863" i="5" s="1"/>
  <c r="C861" i="5"/>
  <c r="C863" i="5" s="1"/>
  <c r="D856" i="5"/>
  <c r="D858" i="5" s="1"/>
  <c r="C856" i="5"/>
  <c r="C858" i="5" s="1"/>
  <c r="D842" i="5"/>
  <c r="D844" i="5" s="1"/>
  <c r="C842" i="5"/>
  <c r="C844" i="5" s="1"/>
  <c r="D837" i="5"/>
  <c r="D839" i="5" s="1"/>
  <c r="C837" i="5"/>
  <c r="C839" i="5" s="1"/>
  <c r="D831" i="5"/>
  <c r="D833" i="5" s="1"/>
  <c r="C831" i="5"/>
  <c r="C833" i="5" s="1"/>
  <c r="D826" i="5"/>
  <c r="D828" i="5" s="1"/>
  <c r="C826" i="5"/>
  <c r="C828" i="5" s="1"/>
  <c r="D815" i="5"/>
  <c r="D817" i="5" s="1"/>
  <c r="C815" i="5"/>
  <c r="C817" i="5" s="1"/>
  <c r="D810" i="5"/>
  <c r="D812" i="5" s="1"/>
  <c r="C810" i="5"/>
  <c r="C812" i="5" s="1"/>
  <c r="D805" i="5"/>
  <c r="D807" i="5" s="1"/>
  <c r="C805" i="5"/>
  <c r="C807" i="5" s="1"/>
  <c r="D800" i="5"/>
  <c r="D802" i="5" s="1"/>
  <c r="C800" i="5"/>
  <c r="C802" i="5" s="1"/>
  <c r="D795" i="5"/>
  <c r="D797" i="5" s="1"/>
  <c r="C795" i="5"/>
  <c r="C797" i="5" s="1"/>
  <c r="D790" i="5"/>
  <c r="D792" i="5" s="1"/>
  <c r="C790" i="5"/>
  <c r="C792" i="5" s="1"/>
  <c r="D785" i="5"/>
  <c r="D787" i="5" s="1"/>
  <c r="C785" i="5"/>
  <c r="C787" i="5" s="1"/>
  <c r="D780" i="5"/>
  <c r="D782" i="5" s="1"/>
  <c r="C780" i="5"/>
  <c r="C782" i="5" s="1"/>
  <c r="D775" i="5"/>
  <c r="D777" i="5" s="1"/>
  <c r="C775" i="5"/>
  <c r="C777" i="5" s="1"/>
  <c r="D770" i="5"/>
  <c r="D772" i="5" s="1"/>
  <c r="C770" i="5"/>
  <c r="C772" i="5" s="1"/>
  <c r="D760" i="5"/>
  <c r="D762" i="5" s="1"/>
  <c r="C760" i="5"/>
  <c r="C762" i="5" s="1"/>
  <c r="D755" i="5"/>
  <c r="D757" i="5" s="1"/>
  <c r="C755" i="5"/>
  <c r="C757" i="5" s="1"/>
  <c r="D750" i="5"/>
  <c r="D752" i="5" s="1"/>
  <c r="C750" i="5"/>
  <c r="C752" i="5" s="1"/>
  <c r="D745" i="5"/>
  <c r="D747" i="5" s="1"/>
  <c r="C745" i="5"/>
  <c r="C747" i="5" s="1"/>
  <c r="D740" i="5"/>
  <c r="D742" i="5" s="1"/>
  <c r="C740" i="5"/>
  <c r="C742" i="5" s="1"/>
  <c r="D735" i="5"/>
  <c r="D737" i="5" s="1"/>
  <c r="C735" i="5"/>
  <c r="C737" i="5" s="1"/>
  <c r="D730" i="5"/>
  <c r="D732" i="5" s="1"/>
  <c r="C730" i="5"/>
  <c r="C732" i="5" s="1"/>
  <c r="D725" i="5"/>
  <c r="D727" i="5" s="1"/>
  <c r="C725" i="5"/>
  <c r="C727" i="5" s="1"/>
  <c r="D720" i="5"/>
  <c r="D722" i="5" s="1"/>
  <c r="C720" i="5"/>
  <c r="C722" i="5" s="1"/>
  <c r="D715" i="5"/>
  <c r="D717" i="5" s="1"/>
  <c r="C715" i="5"/>
  <c r="C717" i="5" s="1"/>
  <c r="D710" i="5"/>
  <c r="D712" i="5" s="1"/>
  <c r="C710" i="5"/>
  <c r="C712" i="5" s="1"/>
  <c r="D705" i="5"/>
  <c r="D707" i="5" s="1"/>
  <c r="C705" i="5"/>
  <c r="C707" i="5" s="1"/>
  <c r="D697" i="5"/>
  <c r="D699" i="5" s="1"/>
  <c r="C697" i="5"/>
  <c r="C699" i="5" s="1"/>
  <c r="D692" i="5"/>
  <c r="D694" i="5" s="1"/>
  <c r="C692" i="5"/>
  <c r="C694" i="5" s="1"/>
  <c r="D687" i="5"/>
  <c r="D689" i="5" s="1"/>
  <c r="C687" i="5"/>
  <c r="C689" i="5" s="1"/>
  <c r="D682" i="5"/>
  <c r="D684" i="5" s="1"/>
  <c r="C682" i="5"/>
  <c r="C684" i="5" s="1"/>
  <c r="D676" i="5"/>
  <c r="D678" i="5" s="1"/>
  <c r="C676" i="5"/>
  <c r="C678" i="5" s="1"/>
  <c r="D669" i="5"/>
  <c r="D671" i="5" s="1"/>
  <c r="C669" i="5"/>
  <c r="C671" i="5" s="1"/>
  <c r="D664" i="5"/>
  <c r="D666" i="5" s="1"/>
  <c r="C664" i="5"/>
  <c r="C666" i="5" s="1"/>
  <c r="D657" i="5"/>
  <c r="D659" i="5" s="1"/>
  <c r="C657" i="5"/>
  <c r="C659" i="5" s="1"/>
  <c r="D652" i="5"/>
  <c r="D654" i="5" s="1"/>
  <c r="C652" i="5"/>
  <c r="C654" i="5" s="1"/>
  <c r="D646" i="5"/>
  <c r="D648" i="5" s="1"/>
  <c r="C646" i="5"/>
  <c r="C648" i="5" s="1"/>
  <c r="D638" i="5"/>
  <c r="D640" i="5" s="1"/>
  <c r="C638" i="5"/>
  <c r="C640" i="5" s="1"/>
  <c r="D634" i="5"/>
  <c r="C634" i="5"/>
  <c r="D621" i="5"/>
  <c r="D623" i="5" s="1"/>
  <c r="C621" i="5"/>
  <c r="C623" i="5" s="1"/>
  <c r="D616" i="5"/>
  <c r="D618" i="5" s="1"/>
  <c r="C616" i="5"/>
  <c r="C618" i="5" s="1"/>
  <c r="D610" i="5"/>
  <c r="D612" i="5" s="1"/>
  <c r="C610" i="5"/>
  <c r="C612" i="5" s="1"/>
  <c r="D599" i="5"/>
  <c r="D601" i="5" s="1"/>
  <c r="C599" i="5"/>
  <c r="C601" i="5" s="1"/>
  <c r="D586" i="5"/>
  <c r="D588" i="5" s="1"/>
  <c r="C586" i="5"/>
  <c r="C588" i="5" s="1"/>
  <c r="D573" i="5"/>
  <c r="D575" i="5" s="1"/>
  <c r="C573" i="5"/>
  <c r="C575" i="5" s="1"/>
  <c r="D568" i="5"/>
  <c r="D570" i="5" s="1"/>
  <c r="C568" i="5"/>
  <c r="C570" i="5" s="1"/>
  <c r="D562" i="5"/>
  <c r="D564" i="5" s="1"/>
  <c r="C562" i="5"/>
  <c r="C564" i="5" s="1"/>
  <c r="D557" i="5"/>
  <c r="D559" i="5" s="1"/>
  <c r="C557" i="5"/>
  <c r="C559" i="5" s="1"/>
  <c r="D552" i="5"/>
  <c r="D554" i="5" s="1"/>
  <c r="C552" i="5"/>
  <c r="C554" i="5" s="1"/>
  <c r="D547" i="5"/>
  <c r="D549" i="5" s="1"/>
  <c r="C547" i="5"/>
  <c r="C549" i="5" s="1"/>
  <c r="D532" i="5"/>
  <c r="D534" i="5" s="1"/>
  <c r="C532" i="5"/>
  <c r="C534" i="5" s="1"/>
  <c r="D527" i="5"/>
  <c r="D529" i="5" s="1"/>
  <c r="C527" i="5"/>
  <c r="C529" i="5" s="1"/>
  <c r="C976" i="5" l="1"/>
  <c r="D933" i="5"/>
  <c r="D955" i="5"/>
  <c r="D968" i="5"/>
  <c r="D990" i="5"/>
  <c r="C943" i="5"/>
  <c r="D943" i="5"/>
  <c r="D976" i="5"/>
  <c r="C955" i="5"/>
  <c r="C933" i="5"/>
  <c r="C968" i="5"/>
  <c r="C990" i="5"/>
  <c r="D522" i="5"/>
  <c r="D524" i="5" s="1"/>
  <c r="C522" i="5"/>
  <c r="C524" i="5" s="1"/>
  <c r="D515" i="5"/>
  <c r="D517" i="5" s="1"/>
  <c r="C515" i="5"/>
  <c r="C517" i="5" s="1"/>
  <c r="D510" i="5"/>
  <c r="D512" i="5" s="1"/>
  <c r="C510" i="5"/>
  <c r="C512" i="5" s="1"/>
  <c r="D505" i="5"/>
  <c r="D507" i="5" s="1"/>
  <c r="C505" i="5"/>
  <c r="C507" i="5" s="1"/>
  <c r="D500" i="5"/>
  <c r="D502" i="5" s="1"/>
  <c r="C500" i="5"/>
  <c r="C502" i="5" s="1"/>
  <c r="D493" i="5"/>
  <c r="D495" i="5" s="1"/>
  <c r="C493" i="5"/>
  <c r="C495" i="5" s="1"/>
  <c r="D486" i="5"/>
  <c r="D488" i="5" s="1"/>
  <c r="C486" i="5"/>
  <c r="C488" i="5" s="1"/>
  <c r="D481" i="5"/>
  <c r="D483" i="5" s="1"/>
  <c r="C481" i="5"/>
  <c r="C483" i="5" s="1"/>
  <c r="D473" i="5"/>
  <c r="D475" i="5" s="1"/>
  <c r="C473" i="5"/>
  <c r="C475" i="5" s="1"/>
  <c r="D465" i="5"/>
  <c r="D467" i="5" s="1"/>
  <c r="C465" i="5"/>
  <c r="C467" i="5" s="1"/>
  <c r="D459" i="5"/>
  <c r="D461" i="5" s="1"/>
  <c r="C459" i="5"/>
  <c r="C461" i="5" s="1"/>
  <c r="D454" i="5"/>
  <c r="D456" i="5" s="1"/>
  <c r="C454" i="5"/>
  <c r="C456" i="5" s="1"/>
  <c r="D449" i="5"/>
  <c r="D451" i="5" s="1"/>
  <c r="C449" i="5"/>
  <c r="C451" i="5" s="1"/>
  <c r="D444" i="5"/>
  <c r="D446" i="5" s="1"/>
  <c r="C444" i="5"/>
  <c r="C446" i="5" s="1"/>
  <c r="D439" i="5"/>
  <c r="D441" i="5" s="1"/>
  <c r="C439" i="5"/>
  <c r="C441" i="5" s="1"/>
  <c r="D434" i="5"/>
  <c r="D436" i="5" s="1"/>
  <c r="C434" i="5"/>
  <c r="C436" i="5" s="1"/>
  <c r="D429" i="5"/>
  <c r="D431" i="5" s="1"/>
  <c r="C429" i="5"/>
  <c r="C431" i="5" s="1"/>
  <c r="D424" i="5"/>
  <c r="D426" i="5" s="1"/>
  <c r="C424" i="5"/>
  <c r="C426" i="5" s="1"/>
  <c r="D414" i="5"/>
  <c r="D416" i="5" s="1"/>
  <c r="C414" i="5"/>
  <c r="C416" i="5" s="1"/>
  <c r="D409" i="5"/>
  <c r="D411" i="5" s="1"/>
  <c r="C409" i="5"/>
  <c r="C411" i="5" s="1"/>
  <c r="D403" i="5"/>
  <c r="D405" i="5" s="1"/>
  <c r="C403" i="5"/>
  <c r="C405" i="5" s="1"/>
  <c r="D398" i="5"/>
  <c r="D400" i="5" s="1"/>
  <c r="C398" i="5"/>
  <c r="C400" i="5" s="1"/>
  <c r="D392" i="5"/>
  <c r="D394" i="5" s="1"/>
  <c r="C392" i="5"/>
  <c r="C394" i="5" s="1"/>
  <c r="C386" i="5"/>
  <c r="C388" i="5" s="1"/>
  <c r="D386" i="5"/>
  <c r="D388" i="5" s="1"/>
  <c r="D380" i="5"/>
  <c r="D382" i="5" s="1"/>
  <c r="C380" i="5"/>
  <c r="C382" i="5" s="1"/>
  <c r="D375" i="5"/>
  <c r="D377" i="5" s="1"/>
  <c r="C375" i="5"/>
  <c r="C377" i="5" s="1"/>
  <c r="D370" i="5"/>
  <c r="D372" i="5" s="1"/>
  <c r="C370" i="5"/>
  <c r="C372" i="5" s="1"/>
  <c r="D363" i="5"/>
  <c r="D365" i="5" s="1"/>
  <c r="C363" i="5"/>
  <c r="C365" i="5" s="1"/>
  <c r="D358" i="5"/>
  <c r="D360" i="5" s="1"/>
  <c r="C358" i="5"/>
  <c r="C360" i="5" s="1"/>
  <c r="D342" i="5"/>
  <c r="C342" i="5"/>
  <c r="C344" i="5" s="1"/>
  <c r="D337" i="5"/>
  <c r="C337" i="5"/>
  <c r="C339" i="5" s="1"/>
  <c r="D330" i="5"/>
  <c r="D332" i="5" s="1"/>
  <c r="C330" i="5"/>
  <c r="C332" i="5" s="1"/>
  <c r="D325" i="5"/>
  <c r="D327" i="5" s="1"/>
  <c r="C325" i="5"/>
  <c r="C327" i="5" s="1"/>
  <c r="D320" i="5"/>
  <c r="D322" i="5" s="1"/>
  <c r="C320" i="5"/>
  <c r="C322" i="5" s="1"/>
  <c r="D315" i="5"/>
  <c r="D317" i="5" s="1"/>
  <c r="C315" i="5"/>
  <c r="C317" i="5" s="1"/>
  <c r="D310" i="5"/>
  <c r="D312" i="5" s="1"/>
  <c r="C310" i="5"/>
  <c r="C312" i="5" s="1"/>
  <c r="D305" i="5"/>
  <c r="D307" i="5" s="1"/>
  <c r="C305" i="5"/>
  <c r="C307" i="5" s="1"/>
  <c r="D298" i="5"/>
  <c r="D300" i="5" s="1"/>
  <c r="C298" i="5"/>
  <c r="C300" i="5" s="1"/>
  <c r="D284" i="5"/>
  <c r="D286" i="5" s="1"/>
  <c r="C284" i="5"/>
  <c r="C286" i="5" s="1"/>
  <c r="D278" i="5"/>
  <c r="D280" i="5" s="1"/>
  <c r="C278" i="5"/>
  <c r="C280" i="5" s="1"/>
  <c r="D273" i="5"/>
  <c r="D275" i="5" s="1"/>
  <c r="C273" i="5"/>
  <c r="C275" i="5" s="1"/>
  <c r="D267" i="5"/>
  <c r="D269" i="5" s="1"/>
  <c r="C267" i="5"/>
  <c r="C269" i="5" s="1"/>
  <c r="D262" i="5"/>
  <c r="D264" i="5" s="1"/>
  <c r="C262" i="5"/>
  <c r="C264" i="5" s="1"/>
  <c r="D252" i="5"/>
  <c r="D254" i="5" s="1"/>
  <c r="C252" i="5"/>
  <c r="C254" i="5" s="1"/>
  <c r="D249" i="5"/>
  <c r="C249" i="5"/>
  <c r="D242" i="5"/>
  <c r="D244" i="5" s="1"/>
  <c r="C242" i="5"/>
  <c r="C244" i="5" s="1"/>
  <c r="D237" i="5"/>
  <c r="D239" i="5" s="1"/>
  <c r="C237" i="5"/>
  <c r="C239" i="5" s="1"/>
  <c r="D227" i="5"/>
  <c r="D229" i="5" s="1"/>
  <c r="C227" i="5"/>
  <c r="C229" i="5" s="1"/>
  <c r="D222" i="5"/>
  <c r="D224" i="5" s="1"/>
  <c r="C222" i="5"/>
  <c r="C224" i="5" s="1"/>
  <c r="C217" i="5"/>
  <c r="C219" i="5" s="1"/>
  <c r="D217" i="5"/>
  <c r="D219" i="5" s="1"/>
  <c r="D211" i="5"/>
  <c r="D213" i="5" s="1"/>
  <c r="C211" i="5"/>
  <c r="C213" i="5" s="1"/>
  <c r="D203" i="5"/>
  <c r="D205" i="5" s="1"/>
  <c r="C203" i="5"/>
  <c r="C205" i="5" s="1"/>
  <c r="D195" i="5"/>
  <c r="D197" i="5" s="1"/>
  <c r="C195" i="5"/>
  <c r="C197" i="5" s="1"/>
  <c r="D189" i="5"/>
  <c r="D191" i="5" s="1"/>
  <c r="C189" i="5"/>
  <c r="C191" i="5" s="1"/>
  <c r="D183" i="5"/>
  <c r="D185" i="5" s="1"/>
  <c r="C183" i="5"/>
  <c r="C185" i="5" s="1"/>
  <c r="D175" i="5"/>
  <c r="D177" i="5" s="1"/>
  <c r="C175" i="5"/>
  <c r="C177" i="5" s="1"/>
  <c r="D167" i="5"/>
  <c r="D169" i="5" s="1"/>
  <c r="C167" i="5"/>
  <c r="C169" i="5" s="1"/>
  <c r="D159" i="5"/>
  <c r="D161" i="5" s="1"/>
  <c r="C159" i="5"/>
  <c r="C161" i="5" s="1"/>
  <c r="D153" i="5"/>
  <c r="D155" i="5" s="1"/>
  <c r="C153" i="5"/>
  <c r="C155" i="5" s="1"/>
  <c r="D147" i="5"/>
  <c r="D149" i="5" s="1"/>
  <c r="C147" i="5"/>
  <c r="C149" i="5" s="1"/>
  <c r="D142" i="5"/>
  <c r="C142" i="5"/>
  <c r="D138" i="5"/>
  <c r="C138" i="5"/>
  <c r="D103" i="5"/>
  <c r="C103" i="5"/>
  <c r="D73" i="5"/>
  <c r="C73" i="5"/>
  <c r="D69" i="5"/>
  <c r="C69" i="5"/>
  <c r="D62" i="5"/>
  <c r="C62" i="5"/>
  <c r="D55" i="5"/>
  <c r="C55" i="5"/>
  <c r="D52" i="5"/>
  <c r="C52" i="5"/>
  <c r="D47" i="5"/>
  <c r="C47" i="5"/>
  <c r="D41" i="5"/>
  <c r="C41" i="5"/>
  <c r="D36" i="5"/>
  <c r="C36" i="5"/>
  <c r="D27" i="5"/>
  <c r="D29" i="5" s="1"/>
  <c r="C27" i="5"/>
  <c r="C29" i="5" s="1"/>
  <c r="D22" i="5"/>
  <c r="C22" i="5"/>
  <c r="D17" i="5"/>
  <c r="C17" i="5"/>
  <c r="D13" i="5"/>
  <c r="C13" i="5"/>
  <c r="H9" i="14"/>
  <c r="C49" i="5" l="1"/>
  <c r="C57" i="5"/>
  <c r="C144" i="5"/>
  <c r="D144" i="5"/>
  <c r="D57" i="5"/>
  <c r="D75" i="5"/>
  <c r="C24" i="5"/>
  <c r="D24" i="5"/>
  <c r="D49" i="5"/>
  <c r="C75" i="5"/>
  <c r="D344" i="5"/>
  <c r="D339" i="5"/>
  <c r="E73" i="12"/>
  <c r="H24" i="18"/>
  <c r="H23" i="18"/>
  <c r="H17" i="18"/>
  <c r="H16" i="18"/>
  <c r="H15" i="18"/>
  <c r="H11" i="18"/>
  <c r="H10" i="18"/>
  <c r="H9" i="18"/>
  <c r="H40" i="17"/>
  <c r="H41" i="17" s="1"/>
  <c r="H31" i="17"/>
  <c r="H27" i="17"/>
  <c r="H22" i="17"/>
  <c r="H34" i="17" s="1"/>
  <c r="H9" i="17"/>
  <c r="H18" i="17" s="1"/>
  <c r="H35" i="17" s="1"/>
  <c r="D33" i="16"/>
  <c r="H36" i="16"/>
  <c r="H41" i="16"/>
  <c r="H33" i="16"/>
  <c r="H29" i="16"/>
  <c r="H21" i="16"/>
  <c r="H14" i="16"/>
  <c r="H37" i="15"/>
  <c r="H33" i="15"/>
  <c r="H17" i="15"/>
  <c r="H32" i="15" s="1"/>
  <c r="H29" i="15"/>
  <c r="H23" i="15"/>
  <c r="H25" i="15" s="1"/>
  <c r="H9" i="15"/>
  <c r="H11" i="15" s="1"/>
  <c r="E26" i="14"/>
  <c r="E56" i="12"/>
  <c r="H35" i="13"/>
  <c r="H34" i="13"/>
  <c r="H24" i="13"/>
  <c r="H16" i="13"/>
  <c r="H15" i="13"/>
  <c r="H14" i="13"/>
  <c r="H13" i="13"/>
  <c r="H12" i="13"/>
  <c r="H11" i="13"/>
  <c r="H10" i="13"/>
  <c r="H9" i="13"/>
  <c r="H8" i="13"/>
  <c r="H29" i="14"/>
  <c r="H22" i="14"/>
  <c r="H19" i="14"/>
  <c r="H16" i="14"/>
  <c r="H15" i="14"/>
  <c r="H14" i="14"/>
  <c r="H12" i="14"/>
  <c r="H11" i="14"/>
  <c r="H78" i="12"/>
  <c r="H27" i="13" s="1"/>
  <c r="H65" i="12"/>
  <c r="H64" i="12"/>
  <c r="H63" i="12"/>
  <c r="H62" i="12"/>
  <c r="H57" i="12"/>
  <c r="H25" i="13" s="1"/>
  <c r="H35" i="12"/>
  <c r="H42" i="12" s="1"/>
  <c r="H23" i="13" s="1"/>
  <c r="H11" i="12"/>
  <c r="H20" i="12" s="1"/>
  <c r="H22" i="13" s="1"/>
  <c r="E242" i="5"/>
  <c r="E244" i="5" s="1"/>
  <c r="B244" i="5"/>
  <c r="H67" i="12" l="1"/>
  <c r="H26" i="13" s="1"/>
  <c r="H29" i="13" s="1"/>
  <c r="H14" i="18" s="1"/>
  <c r="H36" i="13"/>
  <c r="H19" i="13"/>
  <c r="H37" i="16"/>
  <c r="F637" i="5"/>
  <c r="E637" i="5"/>
  <c r="C249" i="8"/>
  <c r="C190" i="2"/>
  <c r="M357" i="5"/>
  <c r="M356" i="5"/>
  <c r="M355" i="5"/>
  <c r="J357" i="5"/>
  <c r="J356" i="5"/>
  <c r="J355" i="5"/>
  <c r="L358" i="5"/>
  <c r="K358" i="5"/>
  <c r="I358" i="5"/>
  <c r="H358" i="5"/>
  <c r="B357" i="5"/>
  <c r="F357" i="5" s="1"/>
  <c r="O357" i="5" s="1"/>
  <c r="B356" i="5"/>
  <c r="F356" i="5" s="1"/>
  <c r="O356" i="5" s="1"/>
  <c r="B355" i="5"/>
  <c r="F355" i="5" s="1"/>
  <c r="O355" i="5" s="1"/>
  <c r="J891" i="5"/>
  <c r="I892" i="5"/>
  <c r="H892" i="5"/>
  <c r="F892" i="5"/>
  <c r="E892" i="5"/>
  <c r="G891" i="5"/>
  <c r="B891" i="5"/>
  <c r="L891" i="5" s="1"/>
  <c r="O891" i="5" s="1"/>
  <c r="I856" i="5"/>
  <c r="H856" i="5"/>
  <c r="F856" i="5"/>
  <c r="E856" i="5"/>
  <c r="J855" i="5"/>
  <c r="G855" i="5"/>
  <c r="B855" i="5"/>
  <c r="L855" i="5" s="1"/>
  <c r="O855" i="5" s="1"/>
  <c r="J336" i="5"/>
  <c r="I337" i="5"/>
  <c r="H337" i="5"/>
  <c r="F337" i="5"/>
  <c r="E337" i="5"/>
  <c r="E339" i="5" s="1"/>
  <c r="G336" i="5"/>
  <c r="B336" i="5"/>
  <c r="L336" i="5" s="1"/>
  <c r="J297" i="5"/>
  <c r="G297" i="5"/>
  <c r="I298" i="5"/>
  <c r="H298" i="5"/>
  <c r="F298" i="5"/>
  <c r="E298" i="5"/>
  <c r="B297" i="5"/>
  <c r="L297" i="5" s="1"/>
  <c r="I284" i="5"/>
  <c r="H284" i="5"/>
  <c r="F284" i="5"/>
  <c r="E284" i="5"/>
  <c r="J283" i="5"/>
  <c r="G283" i="5"/>
  <c r="B283" i="5"/>
  <c r="L283" i="5" s="1"/>
  <c r="O283" i="5" s="1"/>
  <c r="J988" i="5"/>
  <c r="I988" i="5"/>
  <c r="H988" i="5"/>
  <c r="G988" i="5"/>
  <c r="F988" i="5"/>
  <c r="E988" i="5"/>
  <c r="B987" i="5"/>
  <c r="K987" i="5" s="1"/>
  <c r="M984" i="5"/>
  <c r="M983" i="5"/>
  <c r="G984" i="5"/>
  <c r="G983" i="5"/>
  <c r="L985" i="5"/>
  <c r="K985" i="5"/>
  <c r="F985" i="5"/>
  <c r="E985" i="5"/>
  <c r="B984" i="5"/>
  <c r="H984" i="5" s="1"/>
  <c r="B983" i="5"/>
  <c r="I983" i="5" s="1"/>
  <c r="M980" i="5"/>
  <c r="M979" i="5"/>
  <c r="J980" i="5"/>
  <c r="J979" i="5"/>
  <c r="L981" i="5"/>
  <c r="K981" i="5"/>
  <c r="I981" i="5"/>
  <c r="H981" i="5"/>
  <c r="H971" i="5"/>
  <c r="B980" i="5"/>
  <c r="E980" i="5" s="1"/>
  <c r="B979" i="5"/>
  <c r="F979" i="5" s="1"/>
  <c r="H8" i="18" l="1"/>
  <c r="H12" i="18" s="1"/>
  <c r="H22" i="18"/>
  <c r="H26" i="18" s="1"/>
  <c r="E356" i="5"/>
  <c r="G356" i="5" s="1"/>
  <c r="E355" i="5"/>
  <c r="N355" i="5" s="1"/>
  <c r="P355" i="5" s="1"/>
  <c r="E979" i="5"/>
  <c r="H30" i="13"/>
  <c r="H18" i="18"/>
  <c r="F980" i="5"/>
  <c r="O980" i="5" s="1"/>
  <c r="E357" i="5"/>
  <c r="N357" i="5" s="1"/>
  <c r="P357" i="5" s="1"/>
  <c r="M981" i="5"/>
  <c r="K891" i="5"/>
  <c r="M891" i="5" s="1"/>
  <c r="K855" i="5"/>
  <c r="N855" i="5" s="1"/>
  <c r="P855" i="5" s="1"/>
  <c r="G985" i="5"/>
  <c r="K336" i="5"/>
  <c r="M336" i="5" s="1"/>
  <c r="O336" i="5"/>
  <c r="K297" i="5"/>
  <c r="M297" i="5" s="1"/>
  <c r="O297" i="5"/>
  <c r="K283" i="5"/>
  <c r="N283" i="5" s="1"/>
  <c r="P283" i="5" s="1"/>
  <c r="J981" i="5"/>
  <c r="M987" i="5"/>
  <c r="M988" i="5" s="1"/>
  <c r="N987" i="5"/>
  <c r="L987" i="5"/>
  <c r="K988" i="5"/>
  <c r="K990" i="5" s="1"/>
  <c r="J984" i="5"/>
  <c r="N984" i="5"/>
  <c r="P984" i="5" s="1"/>
  <c r="R984" i="5" s="1"/>
  <c r="O979" i="5"/>
  <c r="O983" i="5"/>
  <c r="G980" i="5"/>
  <c r="N980" i="5"/>
  <c r="P980" i="5" s="1"/>
  <c r="I984" i="5"/>
  <c r="O984" i="5" s="1"/>
  <c r="M985" i="5"/>
  <c r="H983" i="5"/>
  <c r="H37" i="13" l="1"/>
  <c r="H39" i="13"/>
  <c r="N356" i="5"/>
  <c r="P356" i="5" s="1"/>
  <c r="G355" i="5"/>
  <c r="G357" i="5"/>
  <c r="N336" i="5"/>
  <c r="P336" i="5" s="1"/>
  <c r="N891" i="5"/>
  <c r="P891" i="5" s="1"/>
  <c r="N297" i="5"/>
  <c r="P297" i="5" s="1"/>
  <c r="M855" i="5"/>
  <c r="M990" i="5"/>
  <c r="M283" i="5"/>
  <c r="P987" i="5"/>
  <c r="N988" i="5"/>
  <c r="L988" i="5"/>
  <c r="L990" i="5" s="1"/>
  <c r="O987" i="5"/>
  <c r="O988" i="5" s="1"/>
  <c r="O985" i="5"/>
  <c r="F981" i="5"/>
  <c r="F990" i="5" s="1"/>
  <c r="O981" i="5"/>
  <c r="I985" i="5"/>
  <c r="I990" i="5" s="1"/>
  <c r="G979" i="5"/>
  <c r="G981" i="5" s="1"/>
  <c r="G990" i="5" s="1"/>
  <c r="N979" i="5"/>
  <c r="E981" i="5"/>
  <c r="E990" i="5" s="1"/>
  <c r="J983" i="5"/>
  <c r="J985" i="5" s="1"/>
  <c r="J990" i="5" s="1"/>
  <c r="H985" i="5"/>
  <c r="H990" i="5" s="1"/>
  <c r="N983" i="5"/>
  <c r="H41" i="13" l="1"/>
  <c r="H43" i="13" s="1"/>
  <c r="P988" i="5"/>
  <c r="R987" i="5"/>
  <c r="O990" i="5"/>
  <c r="N985" i="5"/>
  <c r="P983" i="5"/>
  <c r="N981" i="5"/>
  <c r="P979" i="5"/>
  <c r="P981" i="5" s="1"/>
  <c r="R981" i="5" s="1"/>
  <c r="P985" i="5" l="1"/>
  <c r="P990" i="5" s="1"/>
  <c r="R983" i="5"/>
  <c r="N990" i="5"/>
  <c r="M637" i="5" l="1"/>
  <c r="J637" i="5"/>
  <c r="G637" i="5"/>
  <c r="L638" i="5"/>
  <c r="K638" i="5"/>
  <c r="I638" i="5"/>
  <c r="H638" i="5"/>
  <c r="B585" i="5"/>
  <c r="J585" i="5"/>
  <c r="L586" i="5"/>
  <c r="K586" i="5"/>
  <c r="I586" i="5"/>
  <c r="H586" i="5"/>
  <c r="J210" i="5"/>
  <c r="L211" i="5"/>
  <c r="K211" i="5"/>
  <c r="I211" i="5"/>
  <c r="H211" i="5"/>
  <c r="B210" i="5"/>
  <c r="I40" i="17"/>
  <c r="E305" i="5"/>
  <c r="E307" i="5" s="1"/>
  <c r="B307" i="5"/>
  <c r="J304" i="5"/>
  <c r="J303" i="5"/>
  <c r="I305" i="5"/>
  <c r="H305" i="5"/>
  <c r="F305" i="5"/>
  <c r="G304" i="5"/>
  <c r="G303" i="5"/>
  <c r="B304" i="5"/>
  <c r="B303" i="5"/>
  <c r="F585" i="5" l="1"/>
  <c r="E585" i="5"/>
  <c r="G585" i="5" s="1"/>
  <c r="E210" i="5"/>
  <c r="F210" i="5"/>
  <c r="O210" i="5" s="1"/>
  <c r="K303" i="5"/>
  <c r="L303" i="5"/>
  <c r="O303" i="5" s="1"/>
  <c r="L304" i="5"/>
  <c r="O304" i="5" s="1"/>
  <c r="K304" i="5"/>
  <c r="N637" i="5"/>
  <c r="P637" i="5" s="1"/>
  <c r="O637" i="5"/>
  <c r="N585" i="5" l="1"/>
  <c r="P585" i="5" s="1"/>
  <c r="N304" i="5"/>
  <c r="M304" i="5"/>
  <c r="N303" i="5"/>
  <c r="P303" i="5" s="1"/>
  <c r="M303" i="5"/>
  <c r="G210" i="5"/>
  <c r="N210" i="5"/>
  <c r="P210" i="5" s="1"/>
  <c r="I19" i="13" l="1"/>
  <c r="K19" i="13" s="1"/>
  <c r="F18" i="13"/>
  <c r="I57" i="12"/>
  <c r="I19" i="14"/>
  <c r="I78" i="12" l="1"/>
  <c r="B144" i="5" l="1"/>
  <c r="B75" i="5"/>
  <c r="B57" i="5"/>
  <c r="B49" i="5"/>
  <c r="B29" i="5"/>
  <c r="B24" i="5"/>
  <c r="I33" i="16"/>
  <c r="I29" i="16"/>
  <c r="I21" i="16"/>
  <c r="I22" i="14"/>
  <c r="I36" i="13" s="1"/>
  <c r="I67" i="12"/>
  <c r="I42" i="12"/>
  <c r="I34" i="17"/>
  <c r="I18" i="17"/>
  <c r="I25" i="15"/>
  <c r="I29" i="15"/>
  <c r="I17" i="15"/>
  <c r="B976" i="5"/>
  <c r="B968" i="5"/>
  <c r="B955" i="5"/>
  <c r="B943" i="5"/>
  <c r="B933" i="5"/>
  <c r="B911" i="5"/>
  <c r="B906" i="5"/>
  <c r="B900" i="5"/>
  <c r="B894" i="5"/>
  <c r="B884" i="5"/>
  <c r="B879" i="5"/>
  <c r="B874" i="5"/>
  <c r="B868" i="5"/>
  <c r="B863" i="5"/>
  <c r="B858" i="5"/>
  <c r="B844" i="5"/>
  <c r="B839" i="5"/>
  <c r="B833" i="5"/>
  <c r="B828" i="5"/>
  <c r="B817" i="5"/>
  <c r="B812" i="5"/>
  <c r="B807" i="5"/>
  <c r="B802" i="5"/>
  <c r="B797" i="5"/>
  <c r="B792" i="5"/>
  <c r="B787" i="5"/>
  <c r="B777" i="5"/>
  <c r="B782" i="5"/>
  <c r="B772" i="5"/>
  <c r="B762" i="5"/>
  <c r="B757" i="5"/>
  <c r="B752" i="5"/>
  <c r="B747" i="5"/>
  <c r="B742" i="5"/>
  <c r="B737" i="5"/>
  <c r="B732" i="5"/>
  <c r="B727" i="5"/>
  <c r="I14" i="16"/>
  <c r="I41" i="16"/>
  <c r="I11" i="15"/>
  <c r="B344" i="5"/>
  <c r="B339" i="5"/>
  <c r="B332" i="5"/>
  <c r="B327" i="5"/>
  <c r="B322" i="5"/>
  <c r="B317" i="5"/>
  <c r="B312" i="5"/>
  <c r="B300" i="5"/>
  <c r="B286" i="5"/>
  <c r="B280" i="5"/>
  <c r="B275" i="5"/>
  <c r="B269" i="5"/>
  <c r="B264" i="5"/>
  <c r="B254" i="5"/>
  <c r="B249" i="5"/>
  <c r="B239" i="5"/>
  <c r="B229" i="5"/>
  <c r="B224" i="5"/>
  <c r="B219" i="5"/>
  <c r="B213" i="5"/>
  <c r="B205" i="5"/>
  <c r="B197" i="5"/>
  <c r="B191" i="5"/>
  <c r="B185" i="5"/>
  <c r="B177" i="5"/>
  <c r="B169" i="5"/>
  <c r="B161" i="5"/>
  <c r="B155" i="5"/>
  <c r="B149" i="5"/>
  <c r="B654" i="5"/>
  <c r="B360" i="5"/>
  <c r="B365" i="5"/>
  <c r="B372" i="5"/>
  <c r="B377" i="5"/>
  <c r="B382" i="5"/>
  <c r="B388" i="5"/>
  <c r="B394" i="5"/>
  <c r="B400" i="5"/>
  <c r="B405" i="5"/>
  <c r="B411" i="5"/>
  <c r="B416" i="5"/>
  <c r="B426" i="5"/>
  <c r="B431" i="5"/>
  <c r="B436" i="5"/>
  <c r="B441" i="5"/>
  <c r="B446" i="5"/>
  <c r="B451" i="5"/>
  <c r="B456" i="5"/>
  <c r="B461" i="5"/>
  <c r="B467" i="5"/>
  <c r="B475" i="5"/>
  <c r="B483" i="5"/>
  <c r="B488" i="5"/>
  <c r="B495" i="5"/>
  <c r="B502" i="5"/>
  <c r="B507" i="5"/>
  <c r="B722" i="5"/>
  <c r="B717" i="5"/>
  <c r="B712" i="5"/>
  <c r="B707" i="5"/>
  <c r="B699" i="5"/>
  <c r="B694" i="5"/>
  <c r="B689" i="5"/>
  <c r="B684" i="5"/>
  <c r="B678" i="5"/>
  <c r="B671" i="5"/>
  <c r="B666" i="5"/>
  <c r="B659" i="5"/>
  <c r="B648" i="5"/>
  <c r="B640" i="5"/>
  <c r="B634" i="5"/>
  <c r="B623" i="5"/>
  <c r="B618" i="5"/>
  <c r="B612" i="5"/>
  <c r="B601" i="5"/>
  <c r="B588" i="5"/>
  <c r="B575" i="5"/>
  <c r="B570" i="5"/>
  <c r="B564" i="5"/>
  <c r="B559" i="5"/>
  <c r="B554" i="5"/>
  <c r="B549" i="5"/>
  <c r="B534" i="5"/>
  <c r="B529" i="5"/>
  <c r="B524" i="5"/>
  <c r="B512" i="5"/>
  <c r="B517" i="5"/>
  <c r="L974" i="5"/>
  <c r="K974" i="5"/>
  <c r="F974" i="5"/>
  <c r="E974" i="5"/>
  <c r="L971" i="5"/>
  <c r="K971" i="5"/>
  <c r="I971" i="5"/>
  <c r="I966" i="5"/>
  <c r="H966" i="5"/>
  <c r="F966" i="5"/>
  <c r="E966" i="5"/>
  <c r="L963" i="5"/>
  <c r="K963" i="5"/>
  <c r="F963" i="5"/>
  <c r="E963" i="5"/>
  <c r="L959" i="5"/>
  <c r="K959" i="5"/>
  <c r="I959" i="5"/>
  <c r="H959" i="5"/>
  <c r="L953" i="5"/>
  <c r="K953" i="5"/>
  <c r="F953" i="5"/>
  <c r="E953" i="5"/>
  <c r="L948" i="5"/>
  <c r="K948" i="5"/>
  <c r="I948" i="5"/>
  <c r="H948" i="5"/>
  <c r="L941" i="5"/>
  <c r="K941" i="5"/>
  <c r="F941" i="5"/>
  <c r="E941" i="5"/>
  <c r="L938" i="5"/>
  <c r="K938" i="5"/>
  <c r="I938" i="5"/>
  <c r="H938" i="5"/>
  <c r="I931" i="5"/>
  <c r="H931" i="5"/>
  <c r="F931" i="5"/>
  <c r="E931" i="5"/>
  <c r="L927" i="5"/>
  <c r="K927" i="5"/>
  <c r="F927" i="5"/>
  <c r="E927" i="5"/>
  <c r="L922" i="5"/>
  <c r="K922" i="5"/>
  <c r="I922" i="5"/>
  <c r="H922" i="5"/>
  <c r="I909" i="5"/>
  <c r="I911" i="5" s="1"/>
  <c r="H909" i="5"/>
  <c r="H911" i="5" s="1"/>
  <c r="F909" i="5"/>
  <c r="F911" i="5" s="1"/>
  <c r="E909" i="5"/>
  <c r="E911" i="5" s="1"/>
  <c r="I904" i="5"/>
  <c r="I906" i="5" s="1"/>
  <c r="H904" i="5"/>
  <c r="H906" i="5" s="1"/>
  <c r="F904" i="5"/>
  <c r="F906" i="5" s="1"/>
  <c r="E904" i="5"/>
  <c r="E906" i="5" s="1"/>
  <c r="I898" i="5"/>
  <c r="I900" i="5" s="1"/>
  <c r="H898" i="5"/>
  <c r="H900" i="5" s="1"/>
  <c r="F898" i="5"/>
  <c r="F900" i="5" s="1"/>
  <c r="E898" i="5"/>
  <c r="E900" i="5" s="1"/>
  <c r="I894" i="5"/>
  <c r="H894" i="5"/>
  <c r="F894" i="5"/>
  <c r="E894" i="5"/>
  <c r="I882" i="5"/>
  <c r="I884" i="5" s="1"/>
  <c r="H882" i="5"/>
  <c r="H884" i="5" s="1"/>
  <c r="F882" i="5"/>
  <c r="F884" i="5" s="1"/>
  <c r="E882" i="5"/>
  <c r="E884" i="5" s="1"/>
  <c r="E877" i="5"/>
  <c r="E879" i="5" s="1"/>
  <c r="I877" i="5"/>
  <c r="I879" i="5" s="1"/>
  <c r="H877" i="5"/>
  <c r="H879" i="5" s="1"/>
  <c r="F877" i="5"/>
  <c r="F879" i="5" s="1"/>
  <c r="I872" i="5"/>
  <c r="I874" i="5" s="1"/>
  <c r="H872" i="5"/>
  <c r="H874" i="5" s="1"/>
  <c r="F872" i="5"/>
  <c r="F874" i="5" s="1"/>
  <c r="E872" i="5"/>
  <c r="E874" i="5" s="1"/>
  <c r="I866" i="5"/>
  <c r="I868" i="5" s="1"/>
  <c r="H866" i="5"/>
  <c r="H868" i="5" s="1"/>
  <c r="F866" i="5"/>
  <c r="F868" i="5" s="1"/>
  <c r="E866" i="5"/>
  <c r="E868" i="5" s="1"/>
  <c r="I861" i="5"/>
  <c r="I863" i="5" s="1"/>
  <c r="H861" i="5"/>
  <c r="H863" i="5" s="1"/>
  <c r="F861" i="5"/>
  <c r="F863" i="5" s="1"/>
  <c r="E861" i="5"/>
  <c r="E863" i="5" s="1"/>
  <c r="I858" i="5"/>
  <c r="H858" i="5"/>
  <c r="F858" i="5"/>
  <c r="E858" i="5"/>
  <c r="I842" i="5"/>
  <c r="I844" i="5" s="1"/>
  <c r="H842" i="5"/>
  <c r="H844" i="5" s="1"/>
  <c r="F842" i="5"/>
  <c r="F844" i="5" s="1"/>
  <c r="E842" i="5"/>
  <c r="E844" i="5" s="1"/>
  <c r="I837" i="5"/>
  <c r="I839" i="5" s="1"/>
  <c r="H837" i="5"/>
  <c r="H839" i="5" s="1"/>
  <c r="F837" i="5"/>
  <c r="F839" i="5" s="1"/>
  <c r="E837" i="5"/>
  <c r="E839" i="5" s="1"/>
  <c r="I831" i="5"/>
  <c r="I833" i="5" s="1"/>
  <c r="H831" i="5"/>
  <c r="H833" i="5" s="1"/>
  <c r="F831" i="5"/>
  <c r="F833" i="5" s="1"/>
  <c r="E831" i="5"/>
  <c r="E833" i="5" s="1"/>
  <c r="I826" i="5"/>
  <c r="I828" i="5" s="1"/>
  <c r="H826" i="5"/>
  <c r="H828" i="5" s="1"/>
  <c r="F826" i="5"/>
  <c r="F828" i="5" s="1"/>
  <c r="E826" i="5"/>
  <c r="E828" i="5" s="1"/>
  <c r="L815" i="5"/>
  <c r="L817" i="5" s="1"/>
  <c r="K815" i="5"/>
  <c r="K817" i="5" s="1"/>
  <c r="F815" i="5"/>
  <c r="F817" i="5" s="1"/>
  <c r="E815" i="5"/>
  <c r="E817" i="5" s="1"/>
  <c r="L810" i="5"/>
  <c r="L812" i="5" s="1"/>
  <c r="K810" i="5"/>
  <c r="K812" i="5" s="1"/>
  <c r="F810" i="5"/>
  <c r="F812" i="5" s="1"/>
  <c r="E810" i="5"/>
  <c r="E812" i="5" s="1"/>
  <c r="L805" i="5"/>
  <c r="L807" i="5" s="1"/>
  <c r="K805" i="5"/>
  <c r="K807" i="5" s="1"/>
  <c r="F805" i="5"/>
  <c r="F807" i="5" s="1"/>
  <c r="E805" i="5"/>
  <c r="E807" i="5" s="1"/>
  <c r="L800" i="5"/>
  <c r="L802" i="5" s="1"/>
  <c r="K800" i="5"/>
  <c r="K802" i="5" s="1"/>
  <c r="F800" i="5"/>
  <c r="F802" i="5" s="1"/>
  <c r="E800" i="5"/>
  <c r="E802" i="5" s="1"/>
  <c r="L795" i="5"/>
  <c r="L797" i="5" s="1"/>
  <c r="K795" i="5"/>
  <c r="K797" i="5" s="1"/>
  <c r="F795" i="5"/>
  <c r="F797" i="5" s="1"/>
  <c r="E795" i="5"/>
  <c r="E797" i="5" s="1"/>
  <c r="L790" i="5"/>
  <c r="L792" i="5" s="1"/>
  <c r="K790" i="5"/>
  <c r="K792" i="5" s="1"/>
  <c r="F790" i="5"/>
  <c r="F792" i="5" s="1"/>
  <c r="E790" i="5"/>
  <c r="E792" i="5" s="1"/>
  <c r="L785" i="5"/>
  <c r="L787" i="5" s="1"/>
  <c r="K785" i="5"/>
  <c r="K787" i="5" s="1"/>
  <c r="F785" i="5"/>
  <c r="F787" i="5" s="1"/>
  <c r="E785" i="5"/>
  <c r="E787" i="5" s="1"/>
  <c r="L780" i="5"/>
  <c r="L782" i="5" s="1"/>
  <c r="K780" i="5"/>
  <c r="K782" i="5" s="1"/>
  <c r="F780" i="5"/>
  <c r="F782" i="5" s="1"/>
  <c r="E780" i="5"/>
  <c r="E782" i="5" s="1"/>
  <c r="L775" i="5"/>
  <c r="L777" i="5" s="1"/>
  <c r="K775" i="5"/>
  <c r="K777" i="5" s="1"/>
  <c r="F775" i="5"/>
  <c r="F777" i="5" s="1"/>
  <c r="E775" i="5"/>
  <c r="E777" i="5" s="1"/>
  <c r="L770" i="5"/>
  <c r="L772" i="5" s="1"/>
  <c r="K770" i="5"/>
  <c r="K772" i="5" s="1"/>
  <c r="F770" i="5"/>
  <c r="F772" i="5" s="1"/>
  <c r="E770" i="5"/>
  <c r="E772" i="5" s="1"/>
  <c r="L760" i="5"/>
  <c r="L762" i="5" s="1"/>
  <c r="K760" i="5"/>
  <c r="K762" i="5" s="1"/>
  <c r="F760" i="5"/>
  <c r="F762" i="5" s="1"/>
  <c r="E760" i="5"/>
  <c r="E762" i="5" s="1"/>
  <c r="L755" i="5"/>
  <c r="L757" i="5" s="1"/>
  <c r="K755" i="5"/>
  <c r="K757" i="5" s="1"/>
  <c r="F755" i="5"/>
  <c r="F757" i="5" s="1"/>
  <c r="E755" i="5"/>
  <c r="E757" i="5" s="1"/>
  <c r="L750" i="5"/>
  <c r="L752" i="5" s="1"/>
  <c r="K750" i="5"/>
  <c r="K752" i="5" s="1"/>
  <c r="F750" i="5"/>
  <c r="F752" i="5" s="1"/>
  <c r="E750" i="5"/>
  <c r="E752" i="5" s="1"/>
  <c r="L745" i="5"/>
  <c r="L747" i="5" s="1"/>
  <c r="K745" i="5"/>
  <c r="K747" i="5" s="1"/>
  <c r="F745" i="5"/>
  <c r="F747" i="5" s="1"/>
  <c r="E745" i="5"/>
  <c r="E747" i="5" s="1"/>
  <c r="L740" i="5"/>
  <c r="L742" i="5" s="1"/>
  <c r="K740" i="5"/>
  <c r="K742" i="5" s="1"/>
  <c r="F740" i="5"/>
  <c r="F742" i="5" s="1"/>
  <c r="E740" i="5"/>
  <c r="E742" i="5" s="1"/>
  <c r="L735" i="5"/>
  <c r="L737" i="5" s="1"/>
  <c r="K735" i="5"/>
  <c r="K737" i="5" s="1"/>
  <c r="F735" i="5"/>
  <c r="F737" i="5" s="1"/>
  <c r="E735" i="5"/>
  <c r="E737" i="5" s="1"/>
  <c r="L730" i="5"/>
  <c r="L732" i="5" s="1"/>
  <c r="K730" i="5"/>
  <c r="K732" i="5" s="1"/>
  <c r="F730" i="5"/>
  <c r="F732" i="5" s="1"/>
  <c r="E730" i="5"/>
  <c r="E732" i="5" s="1"/>
  <c r="L725" i="5"/>
  <c r="L727" i="5" s="1"/>
  <c r="K725" i="5"/>
  <c r="K727" i="5" s="1"/>
  <c r="F725" i="5"/>
  <c r="F727" i="5" s="1"/>
  <c r="E725" i="5"/>
  <c r="E727" i="5" s="1"/>
  <c r="L720" i="5"/>
  <c r="L722" i="5" s="1"/>
  <c r="K720" i="5"/>
  <c r="K722" i="5" s="1"/>
  <c r="F720" i="5"/>
  <c r="F722" i="5" s="1"/>
  <c r="E720" i="5"/>
  <c r="E722" i="5" s="1"/>
  <c r="L715" i="5"/>
  <c r="L717" i="5" s="1"/>
  <c r="K715" i="5"/>
  <c r="K717" i="5" s="1"/>
  <c r="F715" i="5"/>
  <c r="F717" i="5" s="1"/>
  <c r="E715" i="5"/>
  <c r="E717" i="5" s="1"/>
  <c r="L710" i="5"/>
  <c r="L712" i="5" s="1"/>
  <c r="K710" i="5"/>
  <c r="K712" i="5" s="1"/>
  <c r="F710" i="5"/>
  <c r="F712" i="5" s="1"/>
  <c r="E710" i="5"/>
  <c r="E712" i="5" s="1"/>
  <c r="L705" i="5"/>
  <c r="L707" i="5" s="1"/>
  <c r="K705" i="5"/>
  <c r="K707" i="5" s="1"/>
  <c r="F705" i="5"/>
  <c r="F707" i="5" s="1"/>
  <c r="E705" i="5"/>
  <c r="E707" i="5" s="1"/>
  <c r="L697" i="5"/>
  <c r="L699" i="5" s="1"/>
  <c r="K697" i="5"/>
  <c r="K699" i="5" s="1"/>
  <c r="F697" i="5"/>
  <c r="F699" i="5" s="1"/>
  <c r="E697" i="5"/>
  <c r="E699" i="5" s="1"/>
  <c r="L692" i="5"/>
  <c r="L694" i="5" s="1"/>
  <c r="K692" i="5"/>
  <c r="K694" i="5" s="1"/>
  <c r="F692" i="5"/>
  <c r="F694" i="5" s="1"/>
  <c r="E692" i="5"/>
  <c r="E694" i="5" s="1"/>
  <c r="L687" i="5"/>
  <c r="L689" i="5" s="1"/>
  <c r="K687" i="5"/>
  <c r="K689" i="5" s="1"/>
  <c r="F687" i="5"/>
  <c r="F689" i="5" s="1"/>
  <c r="E687" i="5"/>
  <c r="E689" i="5" s="1"/>
  <c r="L682" i="5"/>
  <c r="L684" i="5" s="1"/>
  <c r="K682" i="5"/>
  <c r="K684" i="5" s="1"/>
  <c r="I682" i="5"/>
  <c r="I684" i="5" s="1"/>
  <c r="H682" i="5"/>
  <c r="H684" i="5" s="1"/>
  <c r="L676" i="5"/>
  <c r="L678" i="5" s="1"/>
  <c r="K676" i="5"/>
  <c r="K678" i="5" s="1"/>
  <c r="I676" i="5"/>
  <c r="I678" i="5" s="1"/>
  <c r="H676" i="5"/>
  <c r="H678" i="5" s="1"/>
  <c r="L669" i="5"/>
  <c r="L671" i="5" s="1"/>
  <c r="K669" i="5"/>
  <c r="K671" i="5" s="1"/>
  <c r="I669" i="5"/>
  <c r="I671" i="5" s="1"/>
  <c r="H669" i="5"/>
  <c r="H671" i="5" s="1"/>
  <c r="L664" i="5"/>
  <c r="L666" i="5" s="1"/>
  <c r="K664" i="5"/>
  <c r="K666" i="5" s="1"/>
  <c r="I664" i="5"/>
  <c r="I666" i="5" s="1"/>
  <c r="H664" i="5"/>
  <c r="H666" i="5" s="1"/>
  <c r="L657" i="5"/>
  <c r="L659" i="5" s="1"/>
  <c r="K657" i="5"/>
  <c r="K659" i="5" s="1"/>
  <c r="I657" i="5"/>
  <c r="I659" i="5" s="1"/>
  <c r="H657" i="5"/>
  <c r="H659" i="5" s="1"/>
  <c r="L652" i="5"/>
  <c r="L654" i="5" s="1"/>
  <c r="K652" i="5"/>
  <c r="K654" i="5" s="1"/>
  <c r="I652" i="5"/>
  <c r="I654" i="5" s="1"/>
  <c r="H652" i="5"/>
  <c r="H654" i="5" s="1"/>
  <c r="L646" i="5"/>
  <c r="L648" i="5" s="1"/>
  <c r="K646" i="5"/>
  <c r="K648" i="5" s="1"/>
  <c r="I646" i="5"/>
  <c r="I648" i="5" s="1"/>
  <c r="H646" i="5"/>
  <c r="H648" i="5" s="1"/>
  <c r="L640" i="5"/>
  <c r="K640" i="5"/>
  <c r="I640" i="5"/>
  <c r="H640" i="5"/>
  <c r="L634" i="5"/>
  <c r="K634" i="5"/>
  <c r="I634" i="5"/>
  <c r="H634" i="5"/>
  <c r="L621" i="5"/>
  <c r="L623" i="5" s="1"/>
  <c r="K621" i="5"/>
  <c r="K623" i="5" s="1"/>
  <c r="I621" i="5"/>
  <c r="I623" i="5" s="1"/>
  <c r="H621" i="5"/>
  <c r="H623" i="5" s="1"/>
  <c r="L616" i="5"/>
  <c r="L618" i="5" s="1"/>
  <c r="K616" i="5"/>
  <c r="K618" i="5" s="1"/>
  <c r="I616" i="5"/>
  <c r="I618" i="5" s="1"/>
  <c r="H616" i="5"/>
  <c r="H618" i="5" s="1"/>
  <c r="L610" i="5"/>
  <c r="L612" i="5" s="1"/>
  <c r="K610" i="5"/>
  <c r="K612" i="5" s="1"/>
  <c r="I610" i="5"/>
  <c r="I612" i="5" s="1"/>
  <c r="H610" i="5"/>
  <c r="H612" i="5" s="1"/>
  <c r="L599" i="5"/>
  <c r="L601" i="5" s="1"/>
  <c r="K599" i="5"/>
  <c r="K601" i="5" s="1"/>
  <c r="I599" i="5"/>
  <c r="I601" i="5" s="1"/>
  <c r="H599" i="5"/>
  <c r="H601" i="5" s="1"/>
  <c r="L588" i="5"/>
  <c r="K588" i="5"/>
  <c r="I588" i="5"/>
  <c r="H588" i="5"/>
  <c r="L573" i="5"/>
  <c r="L575" i="5" s="1"/>
  <c r="K573" i="5"/>
  <c r="K575" i="5" s="1"/>
  <c r="I573" i="5"/>
  <c r="I575" i="5" s="1"/>
  <c r="H573" i="5"/>
  <c r="H575" i="5" s="1"/>
  <c r="L568" i="5"/>
  <c r="L570" i="5" s="1"/>
  <c r="K568" i="5"/>
  <c r="K570" i="5" s="1"/>
  <c r="I568" i="5"/>
  <c r="I570" i="5" s="1"/>
  <c r="H568" i="5"/>
  <c r="H570" i="5" s="1"/>
  <c r="L562" i="5"/>
  <c r="L564" i="5" s="1"/>
  <c r="K562" i="5"/>
  <c r="K564" i="5" s="1"/>
  <c r="I562" i="5"/>
  <c r="I564" i="5" s="1"/>
  <c r="H562" i="5"/>
  <c r="H564" i="5" s="1"/>
  <c r="L557" i="5"/>
  <c r="L559" i="5" s="1"/>
  <c r="K557" i="5"/>
  <c r="K559" i="5" s="1"/>
  <c r="I557" i="5"/>
  <c r="I559" i="5" s="1"/>
  <c r="H557" i="5"/>
  <c r="H559" i="5" s="1"/>
  <c r="L552" i="5"/>
  <c r="L554" i="5" s="1"/>
  <c r="K552" i="5"/>
  <c r="K554" i="5" s="1"/>
  <c r="I552" i="5"/>
  <c r="I554" i="5" s="1"/>
  <c r="H552" i="5"/>
  <c r="H554" i="5" s="1"/>
  <c r="L547" i="5"/>
  <c r="L549" i="5" s="1"/>
  <c r="K547" i="5"/>
  <c r="K549" i="5" s="1"/>
  <c r="I547" i="5"/>
  <c r="I549" i="5" s="1"/>
  <c r="H547" i="5"/>
  <c r="H549" i="5" s="1"/>
  <c r="L532" i="5"/>
  <c r="L534" i="5" s="1"/>
  <c r="K532" i="5"/>
  <c r="K534" i="5" s="1"/>
  <c r="I532" i="5"/>
  <c r="I534" i="5" s="1"/>
  <c r="H532" i="5"/>
  <c r="H534" i="5" s="1"/>
  <c r="L527" i="5"/>
  <c r="L529" i="5" s="1"/>
  <c r="K527" i="5"/>
  <c r="K529" i="5" s="1"/>
  <c r="I527" i="5"/>
  <c r="I529" i="5" s="1"/>
  <c r="H527" i="5"/>
  <c r="H529" i="5" s="1"/>
  <c r="L522" i="5"/>
  <c r="L524" i="5" s="1"/>
  <c r="K522" i="5"/>
  <c r="K524" i="5" s="1"/>
  <c r="I522" i="5"/>
  <c r="I524" i="5" s="1"/>
  <c r="H522" i="5"/>
  <c r="H524" i="5" s="1"/>
  <c r="L515" i="5"/>
  <c r="L517" i="5" s="1"/>
  <c r="K515" i="5"/>
  <c r="K517" i="5" s="1"/>
  <c r="I515" i="5"/>
  <c r="I517" i="5" s="1"/>
  <c r="H515" i="5"/>
  <c r="H517" i="5" s="1"/>
  <c r="L510" i="5"/>
  <c r="L512" i="5" s="1"/>
  <c r="K510" i="5"/>
  <c r="K512" i="5" s="1"/>
  <c r="I510" i="5"/>
  <c r="I512" i="5" s="1"/>
  <c r="H510" i="5"/>
  <c r="H512" i="5" s="1"/>
  <c r="L505" i="5"/>
  <c r="L507" i="5" s="1"/>
  <c r="K505" i="5"/>
  <c r="K507" i="5" s="1"/>
  <c r="I505" i="5"/>
  <c r="I507" i="5" s="1"/>
  <c r="H505" i="5"/>
  <c r="H507" i="5" s="1"/>
  <c r="L500" i="5"/>
  <c r="L502" i="5" s="1"/>
  <c r="K500" i="5"/>
  <c r="K502" i="5" s="1"/>
  <c r="I500" i="5"/>
  <c r="I502" i="5" s="1"/>
  <c r="H500" i="5"/>
  <c r="H502" i="5" s="1"/>
  <c r="L493" i="5"/>
  <c r="L495" i="5" s="1"/>
  <c r="K493" i="5"/>
  <c r="K495" i="5" s="1"/>
  <c r="I493" i="5"/>
  <c r="I495" i="5" s="1"/>
  <c r="H493" i="5"/>
  <c r="H495" i="5" s="1"/>
  <c r="L486" i="5"/>
  <c r="L488" i="5" s="1"/>
  <c r="K486" i="5"/>
  <c r="K488" i="5" s="1"/>
  <c r="I486" i="5"/>
  <c r="I488" i="5" s="1"/>
  <c r="H486" i="5"/>
  <c r="H488" i="5" s="1"/>
  <c r="L481" i="5"/>
  <c r="L483" i="5" s="1"/>
  <c r="K481" i="5"/>
  <c r="K483" i="5" s="1"/>
  <c r="I481" i="5"/>
  <c r="I483" i="5" s="1"/>
  <c r="H481" i="5"/>
  <c r="H483" i="5" s="1"/>
  <c r="L473" i="5"/>
  <c r="L475" i="5" s="1"/>
  <c r="K473" i="5"/>
  <c r="K475" i="5" s="1"/>
  <c r="I473" i="5"/>
  <c r="I475" i="5" s="1"/>
  <c r="H473" i="5"/>
  <c r="H475" i="5" s="1"/>
  <c r="L465" i="5"/>
  <c r="L467" i="5" s="1"/>
  <c r="K465" i="5"/>
  <c r="K467" i="5" s="1"/>
  <c r="I465" i="5"/>
  <c r="I467" i="5" s="1"/>
  <c r="H465" i="5"/>
  <c r="H467" i="5" s="1"/>
  <c r="L459" i="5"/>
  <c r="L461" i="5" s="1"/>
  <c r="K459" i="5"/>
  <c r="K461" i="5" s="1"/>
  <c r="I459" i="5"/>
  <c r="I461" i="5" s="1"/>
  <c r="H459" i="5"/>
  <c r="H461" i="5" s="1"/>
  <c r="L454" i="5"/>
  <c r="L456" i="5" s="1"/>
  <c r="K454" i="5"/>
  <c r="K456" i="5" s="1"/>
  <c r="I454" i="5"/>
  <c r="I456" i="5" s="1"/>
  <c r="H454" i="5"/>
  <c r="H456" i="5" s="1"/>
  <c r="L449" i="5"/>
  <c r="L451" i="5" s="1"/>
  <c r="K449" i="5"/>
  <c r="K451" i="5" s="1"/>
  <c r="I449" i="5"/>
  <c r="I451" i="5" s="1"/>
  <c r="H449" i="5"/>
  <c r="H451" i="5" s="1"/>
  <c r="L444" i="5"/>
  <c r="L446" i="5" s="1"/>
  <c r="K444" i="5"/>
  <c r="K446" i="5" s="1"/>
  <c r="I444" i="5"/>
  <c r="I446" i="5" s="1"/>
  <c r="H444" i="5"/>
  <c r="H446" i="5" s="1"/>
  <c r="L439" i="5"/>
  <c r="L441" i="5" s="1"/>
  <c r="K439" i="5"/>
  <c r="K441" i="5" s="1"/>
  <c r="I439" i="5"/>
  <c r="I441" i="5" s="1"/>
  <c r="H439" i="5"/>
  <c r="H441" i="5" s="1"/>
  <c r="L434" i="5"/>
  <c r="L436" i="5" s="1"/>
  <c r="K434" i="5"/>
  <c r="K436" i="5" s="1"/>
  <c r="I434" i="5"/>
  <c r="I436" i="5" s="1"/>
  <c r="H434" i="5"/>
  <c r="H436" i="5" s="1"/>
  <c r="L429" i="5"/>
  <c r="L431" i="5" s="1"/>
  <c r="K429" i="5"/>
  <c r="K431" i="5" s="1"/>
  <c r="I429" i="5"/>
  <c r="I431" i="5" s="1"/>
  <c r="H429" i="5"/>
  <c r="H431" i="5" s="1"/>
  <c r="L424" i="5"/>
  <c r="L426" i="5" s="1"/>
  <c r="K424" i="5"/>
  <c r="K426" i="5" s="1"/>
  <c r="I424" i="5"/>
  <c r="I426" i="5" s="1"/>
  <c r="H424" i="5"/>
  <c r="H426" i="5" s="1"/>
  <c r="L414" i="5"/>
  <c r="L416" i="5" s="1"/>
  <c r="K414" i="5"/>
  <c r="K416" i="5" s="1"/>
  <c r="I414" i="5"/>
  <c r="I416" i="5" s="1"/>
  <c r="H414" i="5"/>
  <c r="H416" i="5" s="1"/>
  <c r="L409" i="5"/>
  <c r="L411" i="5" s="1"/>
  <c r="K409" i="5"/>
  <c r="K411" i="5" s="1"/>
  <c r="I409" i="5"/>
  <c r="I411" i="5" s="1"/>
  <c r="H409" i="5"/>
  <c r="H411" i="5" s="1"/>
  <c r="L403" i="5"/>
  <c r="L405" i="5" s="1"/>
  <c r="K403" i="5"/>
  <c r="K405" i="5" s="1"/>
  <c r="I403" i="5"/>
  <c r="I405" i="5" s="1"/>
  <c r="H403" i="5"/>
  <c r="H405" i="5" s="1"/>
  <c r="L398" i="5"/>
  <c r="L400" i="5" s="1"/>
  <c r="K398" i="5"/>
  <c r="K400" i="5" s="1"/>
  <c r="I398" i="5"/>
  <c r="I400" i="5" s="1"/>
  <c r="H398" i="5"/>
  <c r="H400" i="5" s="1"/>
  <c r="L392" i="5"/>
  <c r="L394" i="5" s="1"/>
  <c r="K392" i="5"/>
  <c r="K394" i="5" s="1"/>
  <c r="I392" i="5"/>
  <c r="I394" i="5" s="1"/>
  <c r="H392" i="5"/>
  <c r="H394" i="5" s="1"/>
  <c r="L386" i="5"/>
  <c r="L388" i="5" s="1"/>
  <c r="K386" i="5"/>
  <c r="K388" i="5" s="1"/>
  <c r="I386" i="5"/>
  <c r="I388" i="5" s="1"/>
  <c r="H386" i="5"/>
  <c r="H388" i="5" s="1"/>
  <c r="B329" i="5"/>
  <c r="L329" i="5" s="1"/>
  <c r="O329" i="5" s="1"/>
  <c r="O330" i="5" s="1"/>
  <c r="O332" i="5" s="1"/>
  <c r="L380" i="5"/>
  <c r="L382" i="5" s="1"/>
  <c r="K380" i="5"/>
  <c r="K382" i="5" s="1"/>
  <c r="I380" i="5"/>
  <c r="I382" i="5" s="1"/>
  <c r="H380" i="5"/>
  <c r="H382" i="5" s="1"/>
  <c r="L375" i="5"/>
  <c r="L377" i="5" s="1"/>
  <c r="K375" i="5"/>
  <c r="K377" i="5" s="1"/>
  <c r="I375" i="5"/>
  <c r="I377" i="5" s="1"/>
  <c r="H375" i="5"/>
  <c r="H377" i="5" s="1"/>
  <c r="L370" i="5"/>
  <c r="L372" i="5" s="1"/>
  <c r="K370" i="5"/>
  <c r="K372" i="5" s="1"/>
  <c r="I370" i="5"/>
  <c r="I372" i="5" s="1"/>
  <c r="H370" i="5"/>
  <c r="H372" i="5" s="1"/>
  <c r="L363" i="5"/>
  <c r="L365" i="5" s="1"/>
  <c r="K363" i="5"/>
  <c r="K365" i="5" s="1"/>
  <c r="I363" i="5"/>
  <c r="I365" i="5" s="1"/>
  <c r="H363" i="5"/>
  <c r="H365" i="5" s="1"/>
  <c r="L360" i="5"/>
  <c r="K360" i="5"/>
  <c r="I360" i="5"/>
  <c r="H360" i="5"/>
  <c r="I342" i="5"/>
  <c r="I344" i="5" s="1"/>
  <c r="H342" i="5"/>
  <c r="H344" i="5" s="1"/>
  <c r="F342" i="5"/>
  <c r="F344" i="5" s="1"/>
  <c r="E342" i="5"/>
  <c r="E344" i="5" s="1"/>
  <c r="I339" i="5"/>
  <c r="H339" i="5"/>
  <c r="F339" i="5"/>
  <c r="I330" i="5"/>
  <c r="I332" i="5" s="1"/>
  <c r="H330" i="5"/>
  <c r="H332" i="5" s="1"/>
  <c r="F330" i="5"/>
  <c r="F332" i="5" s="1"/>
  <c r="E330" i="5"/>
  <c r="E332" i="5" s="1"/>
  <c r="I325" i="5"/>
  <c r="I327" i="5" s="1"/>
  <c r="H325" i="5"/>
  <c r="H327" i="5" s="1"/>
  <c r="F325" i="5"/>
  <c r="F327" i="5" s="1"/>
  <c r="E325" i="5"/>
  <c r="E327" i="5" s="1"/>
  <c r="I320" i="5"/>
  <c r="I322" i="5" s="1"/>
  <c r="H320" i="5"/>
  <c r="H322" i="5" s="1"/>
  <c r="F320" i="5"/>
  <c r="F322" i="5" s="1"/>
  <c r="E320" i="5"/>
  <c r="E322" i="5" s="1"/>
  <c r="I315" i="5"/>
  <c r="I317" i="5" s="1"/>
  <c r="H315" i="5"/>
  <c r="H317" i="5" s="1"/>
  <c r="F315" i="5"/>
  <c r="F317" i="5" s="1"/>
  <c r="E315" i="5"/>
  <c r="E317" i="5" s="1"/>
  <c r="I310" i="5"/>
  <c r="I312" i="5" s="1"/>
  <c r="H310" i="5"/>
  <c r="H312" i="5" s="1"/>
  <c r="F310" i="5"/>
  <c r="F312" i="5" s="1"/>
  <c r="E310" i="5"/>
  <c r="E312" i="5" s="1"/>
  <c r="I307" i="5"/>
  <c r="H307" i="5"/>
  <c r="F307" i="5"/>
  <c r="I300" i="5"/>
  <c r="H300" i="5"/>
  <c r="F300" i="5"/>
  <c r="E300" i="5"/>
  <c r="I286" i="5"/>
  <c r="H286" i="5"/>
  <c r="F286" i="5"/>
  <c r="E286" i="5"/>
  <c r="L278" i="5"/>
  <c r="L280" i="5" s="1"/>
  <c r="K278" i="5"/>
  <c r="K280" i="5" s="1"/>
  <c r="F278" i="5"/>
  <c r="F280" i="5" s="1"/>
  <c r="E278" i="5"/>
  <c r="E280" i="5" s="1"/>
  <c r="L273" i="5"/>
  <c r="L275" i="5" s="1"/>
  <c r="K273" i="5"/>
  <c r="K275" i="5" s="1"/>
  <c r="F273" i="5"/>
  <c r="F275" i="5" s="1"/>
  <c r="E273" i="5"/>
  <c r="E275" i="5" s="1"/>
  <c r="L267" i="5"/>
  <c r="L269" i="5" s="1"/>
  <c r="K267" i="5"/>
  <c r="K269" i="5" s="1"/>
  <c r="F267" i="5"/>
  <c r="F269" i="5" s="1"/>
  <c r="E267" i="5"/>
  <c r="E269" i="5" s="1"/>
  <c r="L262" i="5"/>
  <c r="L264" i="5" s="1"/>
  <c r="K262" i="5"/>
  <c r="K264" i="5" s="1"/>
  <c r="F262" i="5"/>
  <c r="F264" i="5" s="1"/>
  <c r="E262" i="5"/>
  <c r="E264" i="5" s="1"/>
  <c r="L252" i="5"/>
  <c r="L254" i="5" s="1"/>
  <c r="K252" i="5"/>
  <c r="K254" i="5" s="1"/>
  <c r="F252" i="5"/>
  <c r="F254" i="5" s="1"/>
  <c r="E252" i="5"/>
  <c r="E254" i="5" s="1"/>
  <c r="L247" i="5"/>
  <c r="L249" i="5" s="1"/>
  <c r="K247" i="5"/>
  <c r="K249" i="5" s="1"/>
  <c r="F247" i="5"/>
  <c r="F249" i="5" s="1"/>
  <c r="E247" i="5"/>
  <c r="E249" i="5" s="1"/>
  <c r="L242" i="5"/>
  <c r="L244" i="5" s="1"/>
  <c r="K242" i="5"/>
  <c r="K244" i="5" s="1"/>
  <c r="F242" i="5"/>
  <c r="F244" i="5" s="1"/>
  <c r="L237" i="5"/>
  <c r="L239" i="5" s="1"/>
  <c r="K237" i="5"/>
  <c r="K239" i="5" s="1"/>
  <c r="F237" i="5"/>
  <c r="F239" i="5" s="1"/>
  <c r="E237" i="5"/>
  <c r="E239" i="5" s="1"/>
  <c r="L227" i="5"/>
  <c r="L229" i="5" s="1"/>
  <c r="K227" i="5"/>
  <c r="K229" i="5" s="1"/>
  <c r="F227" i="5"/>
  <c r="F229" i="5" s="1"/>
  <c r="E227" i="5"/>
  <c r="E229" i="5" s="1"/>
  <c r="L222" i="5"/>
  <c r="L224" i="5" s="1"/>
  <c r="K222" i="5"/>
  <c r="K224" i="5" s="1"/>
  <c r="I222" i="5"/>
  <c r="I224" i="5" s="1"/>
  <c r="H222" i="5"/>
  <c r="H224" i="5" s="1"/>
  <c r="L217" i="5"/>
  <c r="L219" i="5" s="1"/>
  <c r="K217" i="5"/>
  <c r="K219" i="5" s="1"/>
  <c r="I217" i="5"/>
  <c r="I219" i="5" s="1"/>
  <c r="H217" i="5"/>
  <c r="H219" i="5" s="1"/>
  <c r="L213" i="5"/>
  <c r="K213" i="5"/>
  <c r="I213" i="5"/>
  <c r="H213" i="5"/>
  <c r="L203" i="5"/>
  <c r="L205" i="5" s="1"/>
  <c r="K203" i="5"/>
  <c r="K205" i="5" s="1"/>
  <c r="I203" i="5"/>
  <c r="I205" i="5" s="1"/>
  <c r="H203" i="5"/>
  <c r="H205" i="5" s="1"/>
  <c r="L195" i="5"/>
  <c r="L197" i="5" s="1"/>
  <c r="K195" i="5"/>
  <c r="K197" i="5" s="1"/>
  <c r="I195" i="5"/>
  <c r="I197" i="5" s="1"/>
  <c r="H195" i="5"/>
  <c r="H197" i="5" s="1"/>
  <c r="L189" i="5"/>
  <c r="L191" i="5" s="1"/>
  <c r="K189" i="5"/>
  <c r="K191" i="5" s="1"/>
  <c r="I189" i="5"/>
  <c r="I191" i="5" s="1"/>
  <c r="H189" i="5"/>
  <c r="H191" i="5" s="1"/>
  <c r="L183" i="5"/>
  <c r="L185" i="5" s="1"/>
  <c r="K183" i="5"/>
  <c r="K185" i="5" s="1"/>
  <c r="I183" i="5"/>
  <c r="I185" i="5" s="1"/>
  <c r="H183" i="5"/>
  <c r="H185" i="5" s="1"/>
  <c r="L175" i="5"/>
  <c r="L177" i="5" s="1"/>
  <c r="K175" i="5"/>
  <c r="K177" i="5" s="1"/>
  <c r="I175" i="5"/>
  <c r="I177" i="5" s="1"/>
  <c r="H175" i="5"/>
  <c r="H177" i="5" s="1"/>
  <c r="L167" i="5"/>
  <c r="L169" i="5" s="1"/>
  <c r="K167" i="5"/>
  <c r="K169" i="5" s="1"/>
  <c r="I167" i="5"/>
  <c r="I169" i="5" s="1"/>
  <c r="H167" i="5"/>
  <c r="H169" i="5" s="1"/>
  <c r="L159" i="5"/>
  <c r="L161" i="5" s="1"/>
  <c r="K159" i="5"/>
  <c r="K161" i="5" s="1"/>
  <c r="I159" i="5"/>
  <c r="I161" i="5" s="1"/>
  <c r="H159" i="5"/>
  <c r="H161" i="5" s="1"/>
  <c r="L153" i="5"/>
  <c r="L155" i="5" s="1"/>
  <c r="K153" i="5"/>
  <c r="K155" i="5" s="1"/>
  <c r="I153" i="5"/>
  <c r="I155" i="5" s="1"/>
  <c r="H153" i="5"/>
  <c r="H155" i="5" s="1"/>
  <c r="L147" i="5"/>
  <c r="L149" i="5" s="1"/>
  <c r="K147" i="5"/>
  <c r="K149" i="5" s="1"/>
  <c r="I147" i="5"/>
  <c r="I149" i="5" s="1"/>
  <c r="H147" i="5"/>
  <c r="H149" i="5" s="1"/>
  <c r="I142" i="5"/>
  <c r="H142" i="5"/>
  <c r="F142" i="5"/>
  <c r="E142" i="5"/>
  <c r="L138" i="5"/>
  <c r="K138" i="5"/>
  <c r="F138" i="5"/>
  <c r="E138" i="5"/>
  <c r="L103" i="5"/>
  <c r="K103" i="5"/>
  <c r="I103" i="5"/>
  <c r="H103" i="5"/>
  <c r="I73" i="5"/>
  <c r="H73" i="5"/>
  <c r="F73" i="5"/>
  <c r="E73" i="5"/>
  <c r="Q69" i="5"/>
  <c r="L69" i="5"/>
  <c r="K69" i="5"/>
  <c r="F69" i="5"/>
  <c r="E69" i="5"/>
  <c r="L62" i="5"/>
  <c r="K62" i="5"/>
  <c r="I62" i="5"/>
  <c r="H62" i="5"/>
  <c r="I55" i="5"/>
  <c r="H55" i="5"/>
  <c r="F55" i="5"/>
  <c r="E55" i="5"/>
  <c r="L52" i="5"/>
  <c r="K52" i="5"/>
  <c r="I52" i="5"/>
  <c r="H52" i="5"/>
  <c r="I47" i="5"/>
  <c r="H47" i="5"/>
  <c r="F47" i="5"/>
  <c r="E47" i="5"/>
  <c r="L41" i="5"/>
  <c r="K41" i="5"/>
  <c r="F41" i="5"/>
  <c r="E41" i="5"/>
  <c r="L36" i="5"/>
  <c r="K36" i="5"/>
  <c r="I36" i="5"/>
  <c r="H36" i="5"/>
  <c r="L27" i="5"/>
  <c r="L29" i="5" s="1"/>
  <c r="K27" i="5"/>
  <c r="K29" i="5" s="1"/>
  <c r="I27" i="5"/>
  <c r="I29" i="5" s="1"/>
  <c r="H27" i="5"/>
  <c r="H29" i="5" s="1"/>
  <c r="I22" i="5"/>
  <c r="H22" i="5"/>
  <c r="F22" i="5"/>
  <c r="E22" i="5"/>
  <c r="L17" i="5"/>
  <c r="K17" i="5"/>
  <c r="F17" i="5"/>
  <c r="E17" i="5"/>
  <c r="L13" i="5"/>
  <c r="K13" i="5"/>
  <c r="I13" i="5"/>
  <c r="H13" i="5"/>
  <c r="I20" i="12"/>
  <c r="D249" i="8"/>
  <c r="G68" i="5"/>
  <c r="O975" i="5"/>
  <c r="N975" i="5"/>
  <c r="O972" i="5"/>
  <c r="N972" i="5"/>
  <c r="O969" i="5"/>
  <c r="N969" i="5"/>
  <c r="O967" i="5"/>
  <c r="N967" i="5"/>
  <c r="O964" i="5"/>
  <c r="N964" i="5"/>
  <c r="O960" i="5"/>
  <c r="N960" i="5"/>
  <c r="O956" i="5"/>
  <c r="N956" i="5"/>
  <c r="O954" i="5"/>
  <c r="N954" i="5"/>
  <c r="O949" i="5"/>
  <c r="N949" i="5"/>
  <c r="O944" i="5"/>
  <c r="N944" i="5"/>
  <c r="O942" i="5"/>
  <c r="N942" i="5"/>
  <c r="O939" i="5"/>
  <c r="N939" i="5"/>
  <c r="O934" i="5"/>
  <c r="N934" i="5"/>
  <c r="O932" i="5"/>
  <c r="N932" i="5"/>
  <c r="O928" i="5"/>
  <c r="N928" i="5"/>
  <c r="O923" i="5"/>
  <c r="N923" i="5"/>
  <c r="O912" i="5"/>
  <c r="N912" i="5"/>
  <c r="O910" i="5"/>
  <c r="N910" i="5"/>
  <c r="O907" i="5"/>
  <c r="N907" i="5"/>
  <c r="O905" i="5"/>
  <c r="N905" i="5"/>
  <c r="O901" i="5"/>
  <c r="N901" i="5"/>
  <c r="O899" i="5"/>
  <c r="N899" i="5"/>
  <c r="O895" i="5"/>
  <c r="N895" i="5"/>
  <c r="O893" i="5"/>
  <c r="N893" i="5"/>
  <c r="O885" i="5"/>
  <c r="N885" i="5"/>
  <c r="O883" i="5"/>
  <c r="N883" i="5"/>
  <c r="O880" i="5"/>
  <c r="N880" i="5"/>
  <c r="O878" i="5"/>
  <c r="N878" i="5"/>
  <c r="O875" i="5"/>
  <c r="N875" i="5"/>
  <c r="O873" i="5"/>
  <c r="N873" i="5"/>
  <c r="O869" i="5"/>
  <c r="N869" i="5"/>
  <c r="O867" i="5"/>
  <c r="N867" i="5"/>
  <c r="O864" i="5"/>
  <c r="N864" i="5"/>
  <c r="O862" i="5"/>
  <c r="N862" i="5"/>
  <c r="O859" i="5"/>
  <c r="N859" i="5"/>
  <c r="O857" i="5"/>
  <c r="N857" i="5"/>
  <c r="O845" i="5"/>
  <c r="N845" i="5"/>
  <c r="O843" i="5"/>
  <c r="N843" i="5"/>
  <c r="O840" i="5"/>
  <c r="N840" i="5"/>
  <c r="O838" i="5"/>
  <c r="N838" i="5"/>
  <c r="O834" i="5"/>
  <c r="N834" i="5"/>
  <c r="O832" i="5"/>
  <c r="N832" i="5"/>
  <c r="O829" i="5"/>
  <c r="N829" i="5"/>
  <c r="O827" i="5"/>
  <c r="N827" i="5"/>
  <c r="O818" i="5"/>
  <c r="N818" i="5"/>
  <c r="O816" i="5"/>
  <c r="N816" i="5"/>
  <c r="O813" i="5"/>
  <c r="N813" i="5"/>
  <c r="O811" i="5"/>
  <c r="N811" i="5"/>
  <c r="O808" i="5"/>
  <c r="N808" i="5"/>
  <c r="O806" i="5"/>
  <c r="N806" i="5"/>
  <c r="O803" i="5"/>
  <c r="N803" i="5"/>
  <c r="O801" i="5"/>
  <c r="N801" i="5"/>
  <c r="O798" i="5"/>
  <c r="N798" i="5"/>
  <c r="O796" i="5"/>
  <c r="N796" i="5"/>
  <c r="O793" i="5"/>
  <c r="N793" i="5"/>
  <c r="O791" i="5"/>
  <c r="N791" i="5"/>
  <c r="O788" i="5"/>
  <c r="N788" i="5"/>
  <c r="O786" i="5"/>
  <c r="N786" i="5"/>
  <c r="O783" i="5"/>
  <c r="N783" i="5"/>
  <c r="O781" i="5"/>
  <c r="N781" i="5"/>
  <c r="O778" i="5"/>
  <c r="N778" i="5"/>
  <c r="O776" i="5"/>
  <c r="N776" i="5"/>
  <c r="O773" i="5"/>
  <c r="N773" i="5"/>
  <c r="O771" i="5"/>
  <c r="N771" i="5"/>
  <c r="O763" i="5"/>
  <c r="N763" i="5"/>
  <c r="O761" i="5"/>
  <c r="N761" i="5"/>
  <c r="O758" i="5"/>
  <c r="N758" i="5"/>
  <c r="O756" i="5"/>
  <c r="N756" i="5"/>
  <c r="O753" i="5"/>
  <c r="N753" i="5"/>
  <c r="O751" i="5"/>
  <c r="N751" i="5"/>
  <c r="O748" i="5"/>
  <c r="N748" i="5"/>
  <c r="O746" i="5"/>
  <c r="N746" i="5"/>
  <c r="O743" i="5"/>
  <c r="N743" i="5"/>
  <c r="O741" i="5"/>
  <c r="N741" i="5"/>
  <c r="O738" i="5"/>
  <c r="N738" i="5"/>
  <c r="O736" i="5"/>
  <c r="N736" i="5"/>
  <c r="O733" i="5"/>
  <c r="N733" i="5"/>
  <c r="O731" i="5"/>
  <c r="N731" i="5"/>
  <c r="O728" i="5"/>
  <c r="N728" i="5"/>
  <c r="O726" i="5"/>
  <c r="N726" i="5"/>
  <c r="O723" i="5"/>
  <c r="N723" i="5"/>
  <c r="O721" i="5"/>
  <c r="N721" i="5"/>
  <c r="O718" i="5"/>
  <c r="N718" i="5"/>
  <c r="O716" i="5"/>
  <c r="N716" i="5"/>
  <c r="O713" i="5"/>
  <c r="N713" i="5"/>
  <c r="O711" i="5"/>
  <c r="N711" i="5"/>
  <c r="O708" i="5"/>
  <c r="N708" i="5"/>
  <c r="O706" i="5"/>
  <c r="N706" i="5"/>
  <c r="O700" i="5"/>
  <c r="N700" i="5"/>
  <c r="O698" i="5"/>
  <c r="N698" i="5"/>
  <c r="O695" i="5"/>
  <c r="N695" i="5"/>
  <c r="O693" i="5"/>
  <c r="N693" i="5"/>
  <c r="O690" i="5"/>
  <c r="N690" i="5"/>
  <c r="O688" i="5"/>
  <c r="N688" i="5"/>
  <c r="O685" i="5"/>
  <c r="N685" i="5"/>
  <c r="O683" i="5"/>
  <c r="N683" i="5"/>
  <c r="O679" i="5"/>
  <c r="N679" i="5"/>
  <c r="O677" i="5"/>
  <c r="N677" i="5"/>
  <c r="O672" i="5"/>
  <c r="N672" i="5"/>
  <c r="O670" i="5"/>
  <c r="N670" i="5"/>
  <c r="O667" i="5"/>
  <c r="N667" i="5"/>
  <c r="O665" i="5"/>
  <c r="N665" i="5"/>
  <c r="O660" i="5"/>
  <c r="N660" i="5"/>
  <c r="O658" i="5"/>
  <c r="N658" i="5"/>
  <c r="O655" i="5"/>
  <c r="N655" i="5"/>
  <c r="O653" i="5"/>
  <c r="N653" i="5"/>
  <c r="O649" i="5"/>
  <c r="N649" i="5"/>
  <c r="O647" i="5"/>
  <c r="N647" i="5"/>
  <c r="O641" i="5"/>
  <c r="N641" i="5"/>
  <c r="O639" i="5"/>
  <c r="N639" i="5"/>
  <c r="O635" i="5"/>
  <c r="N635" i="5"/>
  <c r="O633" i="5"/>
  <c r="N633" i="5"/>
  <c r="O624" i="5"/>
  <c r="N624" i="5"/>
  <c r="O622" i="5"/>
  <c r="N622" i="5"/>
  <c r="O619" i="5"/>
  <c r="N619" i="5"/>
  <c r="O617" i="5"/>
  <c r="N617" i="5"/>
  <c r="O613" i="5"/>
  <c r="N613" i="5"/>
  <c r="O611" i="5"/>
  <c r="N611" i="5"/>
  <c r="O602" i="5"/>
  <c r="N602" i="5"/>
  <c r="O600" i="5"/>
  <c r="N600" i="5"/>
  <c r="O589" i="5"/>
  <c r="N589" i="5"/>
  <c r="O587" i="5"/>
  <c r="N587" i="5"/>
  <c r="O576" i="5"/>
  <c r="N576" i="5"/>
  <c r="O574" i="5"/>
  <c r="N574" i="5"/>
  <c r="O571" i="5"/>
  <c r="N571" i="5"/>
  <c r="O569" i="5"/>
  <c r="N569" i="5"/>
  <c r="O565" i="5"/>
  <c r="N565" i="5"/>
  <c r="O563" i="5"/>
  <c r="N563" i="5"/>
  <c r="O560" i="5"/>
  <c r="N560" i="5"/>
  <c r="O558" i="5"/>
  <c r="N558" i="5"/>
  <c r="O555" i="5"/>
  <c r="N555" i="5"/>
  <c r="O553" i="5"/>
  <c r="N553" i="5"/>
  <c r="O550" i="5"/>
  <c r="N550" i="5"/>
  <c r="O548" i="5"/>
  <c r="N548" i="5"/>
  <c r="O535" i="5"/>
  <c r="N535" i="5"/>
  <c r="O533" i="5"/>
  <c r="N533" i="5"/>
  <c r="O530" i="5"/>
  <c r="N530" i="5"/>
  <c r="O528" i="5"/>
  <c r="N528" i="5"/>
  <c r="O525" i="5"/>
  <c r="N525" i="5"/>
  <c r="O523" i="5"/>
  <c r="N523" i="5"/>
  <c r="O518" i="5"/>
  <c r="N518" i="5"/>
  <c r="O516" i="5"/>
  <c r="N516" i="5"/>
  <c r="O513" i="5"/>
  <c r="N513" i="5"/>
  <c r="O511" i="5"/>
  <c r="N511" i="5"/>
  <c r="O508" i="5"/>
  <c r="N508" i="5"/>
  <c r="O506" i="5"/>
  <c r="N506" i="5"/>
  <c r="O503" i="5"/>
  <c r="N503" i="5"/>
  <c r="O501" i="5"/>
  <c r="N501" i="5"/>
  <c r="O496" i="5"/>
  <c r="N496" i="5"/>
  <c r="O494" i="5"/>
  <c r="N494" i="5"/>
  <c r="O489" i="5"/>
  <c r="N489" i="5"/>
  <c r="O487" i="5"/>
  <c r="N487" i="5"/>
  <c r="O484" i="5"/>
  <c r="N484" i="5"/>
  <c r="O482" i="5"/>
  <c r="N482" i="5"/>
  <c r="O476" i="5"/>
  <c r="N476" i="5"/>
  <c r="O474" i="5"/>
  <c r="N474" i="5"/>
  <c r="O468" i="5"/>
  <c r="N468" i="5"/>
  <c r="O466" i="5"/>
  <c r="N466" i="5"/>
  <c r="O462" i="5"/>
  <c r="N462" i="5"/>
  <c r="O460" i="5"/>
  <c r="N460" i="5"/>
  <c r="O457" i="5"/>
  <c r="N457" i="5"/>
  <c r="O455" i="5"/>
  <c r="N455" i="5"/>
  <c r="O452" i="5"/>
  <c r="N452" i="5"/>
  <c r="O450" i="5"/>
  <c r="N450" i="5"/>
  <c r="O447" i="5"/>
  <c r="N447" i="5"/>
  <c r="O445" i="5"/>
  <c r="N445" i="5"/>
  <c r="O442" i="5"/>
  <c r="N442" i="5"/>
  <c r="O440" i="5"/>
  <c r="N440" i="5"/>
  <c r="O437" i="5"/>
  <c r="N437" i="5"/>
  <c r="O435" i="5"/>
  <c r="N435" i="5"/>
  <c r="O432" i="5"/>
  <c r="N432" i="5"/>
  <c r="O430" i="5"/>
  <c r="N430" i="5"/>
  <c r="O427" i="5"/>
  <c r="N427" i="5"/>
  <c r="O425" i="5"/>
  <c r="N425" i="5"/>
  <c r="O417" i="5"/>
  <c r="N417" i="5"/>
  <c r="O415" i="5"/>
  <c r="N415" i="5"/>
  <c r="O412" i="5"/>
  <c r="N412" i="5"/>
  <c r="O410" i="5"/>
  <c r="N410" i="5"/>
  <c r="O406" i="5"/>
  <c r="N406" i="5"/>
  <c r="O404" i="5"/>
  <c r="N404" i="5"/>
  <c r="O401" i="5"/>
  <c r="N401" i="5"/>
  <c r="O399" i="5"/>
  <c r="N399" i="5"/>
  <c r="O395" i="5"/>
  <c r="N395" i="5"/>
  <c r="O393" i="5"/>
  <c r="N393" i="5"/>
  <c r="O389" i="5"/>
  <c r="N389" i="5"/>
  <c r="O387" i="5"/>
  <c r="N387" i="5"/>
  <c r="O383" i="5"/>
  <c r="N383" i="5"/>
  <c r="O381" i="5"/>
  <c r="N381" i="5"/>
  <c r="O378" i="5"/>
  <c r="N378" i="5"/>
  <c r="O376" i="5"/>
  <c r="N376" i="5"/>
  <c r="O373" i="5"/>
  <c r="N373" i="5"/>
  <c r="O371" i="5"/>
  <c r="N371" i="5"/>
  <c r="O366" i="5"/>
  <c r="N366" i="5"/>
  <c r="O364" i="5"/>
  <c r="N364" i="5"/>
  <c r="O361" i="5"/>
  <c r="N361" i="5"/>
  <c r="O359" i="5"/>
  <c r="N359" i="5"/>
  <c r="O345" i="5"/>
  <c r="N345" i="5"/>
  <c r="O343" i="5"/>
  <c r="N343" i="5"/>
  <c r="O340" i="5"/>
  <c r="N340" i="5"/>
  <c r="O338" i="5"/>
  <c r="N338" i="5"/>
  <c r="O333" i="5"/>
  <c r="N333" i="5"/>
  <c r="O331" i="5"/>
  <c r="N331" i="5"/>
  <c r="O328" i="5"/>
  <c r="N328" i="5"/>
  <c r="O326" i="5"/>
  <c r="N326" i="5"/>
  <c r="O323" i="5"/>
  <c r="N323" i="5"/>
  <c r="O321" i="5"/>
  <c r="N321" i="5"/>
  <c r="O318" i="5"/>
  <c r="N318" i="5"/>
  <c r="O316" i="5"/>
  <c r="N316" i="5"/>
  <c r="O313" i="5"/>
  <c r="N313" i="5"/>
  <c r="O311" i="5"/>
  <c r="N311" i="5"/>
  <c r="O308" i="5"/>
  <c r="N308" i="5"/>
  <c r="O306" i="5"/>
  <c r="N306" i="5"/>
  <c r="O301" i="5"/>
  <c r="N301" i="5"/>
  <c r="O299" i="5"/>
  <c r="N299" i="5"/>
  <c r="O287" i="5"/>
  <c r="N287" i="5"/>
  <c r="O285" i="5"/>
  <c r="N285" i="5"/>
  <c r="O281" i="5"/>
  <c r="N281" i="5"/>
  <c r="O279" i="5"/>
  <c r="N279" i="5"/>
  <c r="O276" i="5"/>
  <c r="N276" i="5"/>
  <c r="O274" i="5"/>
  <c r="N274" i="5"/>
  <c r="O270" i="5"/>
  <c r="N270" i="5"/>
  <c r="O268" i="5"/>
  <c r="N268" i="5"/>
  <c r="O265" i="5"/>
  <c r="N265" i="5"/>
  <c r="O263" i="5"/>
  <c r="N263" i="5"/>
  <c r="O255" i="5"/>
  <c r="N255" i="5"/>
  <c r="O253" i="5"/>
  <c r="N253" i="5"/>
  <c r="O250" i="5"/>
  <c r="N250" i="5"/>
  <c r="O248" i="5"/>
  <c r="N248" i="5"/>
  <c r="O245" i="5"/>
  <c r="N245" i="5"/>
  <c r="O243" i="5"/>
  <c r="N243" i="5"/>
  <c r="O240" i="5"/>
  <c r="N240" i="5"/>
  <c r="O238" i="5"/>
  <c r="N238" i="5"/>
  <c r="O230" i="5"/>
  <c r="N230" i="5"/>
  <c r="O228" i="5"/>
  <c r="N228" i="5"/>
  <c r="O225" i="5"/>
  <c r="N225" i="5"/>
  <c r="O223" i="5"/>
  <c r="N223" i="5"/>
  <c r="O220" i="5"/>
  <c r="N220" i="5"/>
  <c r="O218" i="5"/>
  <c r="N218" i="5"/>
  <c r="O214" i="5"/>
  <c r="N214" i="5"/>
  <c r="O212" i="5"/>
  <c r="N212" i="5"/>
  <c r="O206" i="5"/>
  <c r="N206" i="5"/>
  <c r="O204" i="5"/>
  <c r="N204" i="5"/>
  <c r="O198" i="5"/>
  <c r="N198" i="5"/>
  <c r="O196" i="5"/>
  <c r="N196" i="5"/>
  <c r="O192" i="5"/>
  <c r="N192" i="5"/>
  <c r="O190" i="5"/>
  <c r="N190" i="5"/>
  <c r="O186" i="5"/>
  <c r="N186" i="5"/>
  <c r="O184" i="5"/>
  <c r="N184" i="5"/>
  <c r="O178" i="5"/>
  <c r="N178" i="5"/>
  <c r="O176" i="5"/>
  <c r="N176" i="5"/>
  <c r="O170" i="5"/>
  <c r="N170" i="5"/>
  <c r="O168" i="5"/>
  <c r="N168" i="5"/>
  <c r="O162" i="5"/>
  <c r="N162" i="5"/>
  <c r="O160" i="5"/>
  <c r="N160" i="5"/>
  <c r="O156" i="5"/>
  <c r="N156" i="5"/>
  <c r="O154" i="5"/>
  <c r="N154" i="5"/>
  <c r="O150" i="5"/>
  <c r="N150" i="5"/>
  <c r="O148" i="5"/>
  <c r="N148" i="5"/>
  <c r="O145" i="5"/>
  <c r="N145" i="5"/>
  <c r="O143" i="5"/>
  <c r="N143" i="5"/>
  <c r="O139" i="5"/>
  <c r="N139" i="5"/>
  <c r="O104" i="5"/>
  <c r="N104" i="5"/>
  <c r="O76" i="5"/>
  <c r="N76" i="5"/>
  <c r="O74" i="5"/>
  <c r="N74" i="5"/>
  <c r="O70" i="5"/>
  <c r="N70" i="5"/>
  <c r="O63" i="5"/>
  <c r="N63" i="5"/>
  <c r="O58" i="5"/>
  <c r="N58" i="5"/>
  <c r="O56" i="5"/>
  <c r="N56" i="5"/>
  <c r="O53" i="5"/>
  <c r="N53" i="5"/>
  <c r="O50" i="5"/>
  <c r="N50" i="5"/>
  <c r="O48" i="5"/>
  <c r="N48" i="5"/>
  <c r="O42" i="5"/>
  <c r="N42" i="5"/>
  <c r="O37" i="5"/>
  <c r="N37" i="5"/>
  <c r="O30" i="5"/>
  <c r="N30" i="5"/>
  <c r="O28" i="5"/>
  <c r="N28" i="5"/>
  <c r="O25" i="5"/>
  <c r="N25" i="5"/>
  <c r="O23" i="5"/>
  <c r="N23" i="5"/>
  <c r="O18" i="5"/>
  <c r="N18" i="5"/>
  <c r="O14" i="5"/>
  <c r="N14" i="5"/>
  <c r="M9" i="5"/>
  <c r="D190" i="2"/>
  <c r="M53" i="5"/>
  <c r="B19" i="5"/>
  <c r="L19" i="5" s="1"/>
  <c r="J975" i="5"/>
  <c r="J972" i="5"/>
  <c r="J970" i="5"/>
  <c r="J971" i="5" s="1"/>
  <c r="J969" i="5"/>
  <c r="J967" i="5"/>
  <c r="J965" i="5"/>
  <c r="J966" i="5" s="1"/>
  <c r="J964" i="5"/>
  <c r="J960" i="5"/>
  <c r="J958" i="5"/>
  <c r="J957" i="5"/>
  <c r="J956" i="5"/>
  <c r="J954" i="5"/>
  <c r="J949" i="5"/>
  <c r="J947" i="5"/>
  <c r="J945" i="5"/>
  <c r="J944" i="5"/>
  <c r="J942" i="5"/>
  <c r="J939" i="5"/>
  <c r="J937" i="5"/>
  <c r="J936" i="5"/>
  <c r="J935" i="5"/>
  <c r="J934" i="5"/>
  <c r="J932" i="5"/>
  <c r="J930" i="5"/>
  <c r="J929" i="5"/>
  <c r="J928" i="5"/>
  <c r="J923" i="5"/>
  <c r="J921" i="5"/>
  <c r="J920" i="5"/>
  <c r="J919" i="5"/>
  <c r="J918" i="5"/>
  <c r="J917" i="5"/>
  <c r="J916" i="5"/>
  <c r="J915" i="5"/>
  <c r="J914" i="5"/>
  <c r="J913" i="5"/>
  <c r="J912" i="5"/>
  <c r="J910" i="5"/>
  <c r="J908" i="5"/>
  <c r="J909" i="5" s="1"/>
  <c r="J911" i="5" s="1"/>
  <c r="J907" i="5"/>
  <c r="J905" i="5"/>
  <c r="J903" i="5"/>
  <c r="J902" i="5"/>
  <c r="J901" i="5"/>
  <c r="J899" i="5"/>
  <c r="J897" i="5"/>
  <c r="J896" i="5"/>
  <c r="J895" i="5"/>
  <c r="J893" i="5"/>
  <c r="J890" i="5"/>
  <c r="J889" i="5"/>
  <c r="J888" i="5"/>
  <c r="J887" i="5"/>
  <c r="J886" i="5"/>
  <c r="J885" i="5"/>
  <c r="J883" i="5"/>
  <c r="J881" i="5"/>
  <c r="J882" i="5" s="1"/>
  <c r="J884" i="5" s="1"/>
  <c r="J880" i="5"/>
  <c r="J878" i="5"/>
  <c r="J876" i="5"/>
  <c r="J877" i="5" s="1"/>
  <c r="J879" i="5" s="1"/>
  <c r="J875" i="5"/>
  <c r="J873" i="5"/>
  <c r="J871" i="5"/>
  <c r="J870" i="5"/>
  <c r="J869" i="5"/>
  <c r="J867" i="5"/>
  <c r="J865" i="5"/>
  <c r="J866" i="5" s="1"/>
  <c r="J868" i="5" s="1"/>
  <c r="J864" i="5"/>
  <c r="J862" i="5"/>
  <c r="J860" i="5"/>
  <c r="J861" i="5" s="1"/>
  <c r="J863" i="5" s="1"/>
  <c r="J859" i="5"/>
  <c r="J857" i="5"/>
  <c r="J854" i="5"/>
  <c r="J853" i="5"/>
  <c r="J852" i="5"/>
  <c r="J851" i="5"/>
  <c r="J850" i="5"/>
  <c r="J849" i="5"/>
  <c r="J848" i="5"/>
  <c r="J847" i="5"/>
  <c r="J846" i="5"/>
  <c r="J845" i="5"/>
  <c r="J843" i="5"/>
  <c r="J841" i="5"/>
  <c r="J842" i="5" s="1"/>
  <c r="J844" i="5" s="1"/>
  <c r="J840" i="5"/>
  <c r="J838" i="5"/>
  <c r="J836" i="5"/>
  <c r="J835" i="5"/>
  <c r="J834" i="5"/>
  <c r="J832" i="5"/>
  <c r="J830" i="5"/>
  <c r="J831" i="5" s="1"/>
  <c r="J833" i="5" s="1"/>
  <c r="J829" i="5"/>
  <c r="J827" i="5"/>
  <c r="J825" i="5"/>
  <c r="J824" i="5"/>
  <c r="J823" i="5"/>
  <c r="J822" i="5"/>
  <c r="J821" i="5"/>
  <c r="J820" i="5"/>
  <c r="J819" i="5"/>
  <c r="J818" i="5"/>
  <c r="J816" i="5"/>
  <c r="J813" i="5"/>
  <c r="J811" i="5"/>
  <c r="J808" i="5"/>
  <c r="J806" i="5"/>
  <c r="J803" i="5"/>
  <c r="J801" i="5"/>
  <c r="J798" i="5"/>
  <c r="J796" i="5"/>
  <c r="J793" i="5"/>
  <c r="J791" i="5"/>
  <c r="J788" i="5"/>
  <c r="J786" i="5"/>
  <c r="J783" i="5"/>
  <c r="J781" i="5"/>
  <c r="J778" i="5"/>
  <c r="J776" i="5"/>
  <c r="J773" i="5"/>
  <c r="J771" i="5"/>
  <c r="J763" i="5"/>
  <c r="J761" i="5"/>
  <c r="J758" i="5"/>
  <c r="J756" i="5"/>
  <c r="J753" i="5"/>
  <c r="J751" i="5"/>
  <c r="J748" i="5"/>
  <c r="J746" i="5"/>
  <c r="J743" i="5"/>
  <c r="J741" i="5"/>
  <c r="J738" i="5"/>
  <c r="J736" i="5"/>
  <c r="J733" i="5"/>
  <c r="J731" i="5"/>
  <c r="J728" i="5"/>
  <c r="J726" i="5"/>
  <c r="J723" i="5"/>
  <c r="J721" i="5"/>
  <c r="J718" i="5"/>
  <c r="J716" i="5"/>
  <c r="J713" i="5"/>
  <c r="J711" i="5"/>
  <c r="J708" i="5"/>
  <c r="J706" i="5"/>
  <c r="J700" i="5"/>
  <c r="J698" i="5"/>
  <c r="J695" i="5"/>
  <c r="J693" i="5"/>
  <c r="J690" i="5"/>
  <c r="J688" i="5"/>
  <c r="J685" i="5"/>
  <c r="J683" i="5"/>
  <c r="J681" i="5"/>
  <c r="J680" i="5"/>
  <c r="J679" i="5"/>
  <c r="J677" i="5"/>
  <c r="J675" i="5"/>
  <c r="J674" i="5"/>
  <c r="J673" i="5"/>
  <c r="J672" i="5"/>
  <c r="J670" i="5"/>
  <c r="J668" i="5"/>
  <c r="J669" i="5" s="1"/>
  <c r="J671" i="5" s="1"/>
  <c r="J667" i="5"/>
  <c r="J665" i="5"/>
  <c r="J663" i="5"/>
  <c r="J662" i="5"/>
  <c r="J661" i="5"/>
  <c r="J660" i="5"/>
  <c r="J658" i="5"/>
  <c r="J656" i="5"/>
  <c r="J657" i="5" s="1"/>
  <c r="J659" i="5" s="1"/>
  <c r="J655" i="5"/>
  <c r="J653" i="5"/>
  <c r="J651" i="5"/>
  <c r="J650" i="5"/>
  <c r="J649" i="5"/>
  <c r="J647" i="5"/>
  <c r="J645" i="5"/>
  <c r="J644" i="5"/>
  <c r="J642" i="5"/>
  <c r="J641" i="5"/>
  <c r="J639" i="5"/>
  <c r="J636" i="5"/>
  <c r="J635" i="5"/>
  <c r="J633" i="5"/>
  <c r="J631" i="5"/>
  <c r="J629" i="5"/>
  <c r="J628" i="5"/>
  <c r="J627" i="5"/>
  <c r="J626" i="5"/>
  <c r="J625" i="5"/>
  <c r="J624" i="5"/>
  <c r="J622" i="5"/>
  <c r="J620" i="5"/>
  <c r="J621" i="5" s="1"/>
  <c r="J623" i="5" s="1"/>
  <c r="J619" i="5"/>
  <c r="J617" i="5"/>
  <c r="J615" i="5"/>
  <c r="J614" i="5"/>
  <c r="J613" i="5"/>
  <c r="J611" i="5"/>
  <c r="J609" i="5"/>
  <c r="J608" i="5"/>
  <c r="J607" i="5"/>
  <c r="J606" i="5"/>
  <c r="J605" i="5"/>
  <c r="J604" i="5"/>
  <c r="J603" i="5"/>
  <c r="J602" i="5"/>
  <c r="J600" i="5"/>
  <c r="J598" i="5"/>
  <c r="J597" i="5"/>
  <c r="J596" i="5"/>
  <c r="J595" i="5"/>
  <c r="J594" i="5"/>
  <c r="J593" i="5"/>
  <c r="J592" i="5"/>
  <c r="J591" i="5"/>
  <c r="J590" i="5"/>
  <c r="J589" i="5"/>
  <c r="J587" i="5"/>
  <c r="J584" i="5"/>
  <c r="J583" i="5"/>
  <c r="J582" i="5"/>
  <c r="J581" i="5"/>
  <c r="J576" i="5"/>
  <c r="J574" i="5"/>
  <c r="J572" i="5"/>
  <c r="J573" i="5" s="1"/>
  <c r="J575" i="5" s="1"/>
  <c r="J571" i="5"/>
  <c r="J569" i="5"/>
  <c r="J567" i="5"/>
  <c r="J566" i="5"/>
  <c r="J565" i="5"/>
  <c r="J563" i="5"/>
  <c r="J561" i="5"/>
  <c r="J562" i="5" s="1"/>
  <c r="J564" i="5" s="1"/>
  <c r="J560" i="5"/>
  <c r="J558" i="5"/>
  <c r="J556" i="5"/>
  <c r="J557" i="5" s="1"/>
  <c r="J559" i="5" s="1"/>
  <c r="J555" i="5"/>
  <c r="J553" i="5"/>
  <c r="J551" i="5"/>
  <c r="J552" i="5" s="1"/>
  <c r="J554" i="5" s="1"/>
  <c r="J550" i="5"/>
  <c r="J548" i="5"/>
  <c r="J546" i="5"/>
  <c r="J545" i="5"/>
  <c r="J544" i="5"/>
  <c r="J543" i="5"/>
  <c r="J542" i="5"/>
  <c r="J541" i="5"/>
  <c r="J540" i="5"/>
  <c r="J539" i="5"/>
  <c r="J538" i="5"/>
  <c r="J537" i="5"/>
  <c r="J536" i="5"/>
  <c r="J535" i="5"/>
  <c r="J533" i="5"/>
  <c r="J531" i="5"/>
  <c r="J532" i="5" s="1"/>
  <c r="J534" i="5" s="1"/>
  <c r="J530" i="5"/>
  <c r="J528" i="5"/>
  <c r="J526" i="5"/>
  <c r="J527" i="5" s="1"/>
  <c r="J529" i="5" s="1"/>
  <c r="J525" i="5"/>
  <c r="J523" i="5"/>
  <c r="J521" i="5"/>
  <c r="J520" i="5"/>
  <c r="J519" i="5"/>
  <c r="J518" i="5"/>
  <c r="J516" i="5"/>
  <c r="J514" i="5"/>
  <c r="J515" i="5" s="1"/>
  <c r="J517" i="5" s="1"/>
  <c r="J513" i="5"/>
  <c r="J511" i="5"/>
  <c r="J509" i="5"/>
  <c r="J510" i="5" s="1"/>
  <c r="J512" i="5" s="1"/>
  <c r="J508" i="5"/>
  <c r="J506" i="5"/>
  <c r="J504" i="5"/>
  <c r="J505" i="5" s="1"/>
  <c r="J507" i="5" s="1"/>
  <c r="J503" i="5"/>
  <c r="J501" i="5"/>
  <c r="J499" i="5"/>
  <c r="J498" i="5"/>
  <c r="J497" i="5"/>
  <c r="J496" i="5"/>
  <c r="J494" i="5"/>
  <c r="J492" i="5"/>
  <c r="J491" i="5"/>
  <c r="J490" i="5"/>
  <c r="J489" i="5"/>
  <c r="J487" i="5"/>
  <c r="J485" i="5"/>
  <c r="J486" i="5" s="1"/>
  <c r="J488" i="5" s="1"/>
  <c r="J484" i="5"/>
  <c r="J482" i="5"/>
  <c r="J480" i="5"/>
  <c r="J479" i="5"/>
  <c r="J478" i="5"/>
  <c r="J477" i="5"/>
  <c r="J476" i="5"/>
  <c r="J474" i="5"/>
  <c r="J472" i="5"/>
  <c r="J471" i="5"/>
  <c r="J470" i="5"/>
  <c r="J469" i="5"/>
  <c r="J468" i="5"/>
  <c r="J466" i="5"/>
  <c r="J464" i="5"/>
  <c r="J463" i="5"/>
  <c r="J462" i="5"/>
  <c r="J460" i="5"/>
  <c r="J458" i="5"/>
  <c r="J459" i="5" s="1"/>
  <c r="J461" i="5" s="1"/>
  <c r="J457" i="5"/>
  <c r="J455" i="5"/>
  <c r="J453" i="5"/>
  <c r="J454" i="5" s="1"/>
  <c r="J456" i="5" s="1"/>
  <c r="J452" i="5"/>
  <c r="J450" i="5"/>
  <c r="J448" i="5"/>
  <c r="J449" i="5" s="1"/>
  <c r="J451" i="5" s="1"/>
  <c r="J447" i="5"/>
  <c r="J445" i="5"/>
  <c r="J443" i="5"/>
  <c r="J444" i="5" s="1"/>
  <c r="J446" i="5" s="1"/>
  <c r="J442" i="5"/>
  <c r="J440" i="5"/>
  <c r="J438" i="5"/>
  <c r="J439" i="5" s="1"/>
  <c r="J441" i="5" s="1"/>
  <c r="J437" i="5"/>
  <c r="J435" i="5"/>
  <c r="J433" i="5"/>
  <c r="J434" i="5" s="1"/>
  <c r="J436" i="5" s="1"/>
  <c r="J432" i="5"/>
  <c r="J430" i="5"/>
  <c r="J428" i="5"/>
  <c r="J429" i="5" s="1"/>
  <c r="J431" i="5" s="1"/>
  <c r="J427" i="5"/>
  <c r="J425" i="5"/>
  <c r="J423" i="5"/>
  <c r="J422" i="5"/>
  <c r="J421" i="5"/>
  <c r="J420" i="5"/>
  <c r="J419" i="5"/>
  <c r="J418" i="5"/>
  <c r="J417" i="5"/>
  <c r="J415" i="5"/>
  <c r="J413" i="5"/>
  <c r="J414" i="5" s="1"/>
  <c r="J416" i="5" s="1"/>
  <c r="J412" i="5"/>
  <c r="J410" i="5"/>
  <c r="J408" i="5"/>
  <c r="J407" i="5"/>
  <c r="J406" i="5"/>
  <c r="J404" i="5"/>
  <c r="J402" i="5"/>
  <c r="J403" i="5" s="1"/>
  <c r="J405" i="5" s="1"/>
  <c r="J401" i="5"/>
  <c r="J399" i="5"/>
  <c r="J397" i="5"/>
  <c r="J396" i="5"/>
  <c r="J395" i="5"/>
  <c r="J393" i="5"/>
  <c r="J391" i="5"/>
  <c r="J390" i="5"/>
  <c r="J389" i="5"/>
  <c r="J387" i="5"/>
  <c r="J385" i="5"/>
  <c r="J384" i="5"/>
  <c r="J383" i="5"/>
  <c r="J381" i="5"/>
  <c r="J379" i="5"/>
  <c r="J380" i="5" s="1"/>
  <c r="J382" i="5" s="1"/>
  <c r="J378" i="5"/>
  <c r="J376" i="5"/>
  <c r="J374" i="5"/>
  <c r="J375" i="5" s="1"/>
  <c r="J377" i="5" s="1"/>
  <c r="J373" i="5"/>
  <c r="J371" i="5"/>
  <c r="J369" i="5"/>
  <c r="J368" i="5"/>
  <c r="J367" i="5"/>
  <c r="J366" i="5"/>
  <c r="J364" i="5"/>
  <c r="J362" i="5"/>
  <c r="J363" i="5" s="1"/>
  <c r="J365" i="5" s="1"/>
  <c r="J361" i="5"/>
  <c r="J359" i="5"/>
  <c r="J354" i="5"/>
  <c r="J353" i="5"/>
  <c r="J352" i="5"/>
  <c r="J351" i="5"/>
  <c r="J350" i="5"/>
  <c r="J349" i="5"/>
  <c r="J348" i="5"/>
  <c r="J347" i="5"/>
  <c r="J346" i="5"/>
  <c r="J345" i="5"/>
  <c r="J343" i="5"/>
  <c r="J341" i="5"/>
  <c r="J342" i="5" s="1"/>
  <c r="J344" i="5" s="1"/>
  <c r="J340" i="5"/>
  <c r="J338" i="5"/>
  <c r="J335" i="5"/>
  <c r="J334" i="5"/>
  <c r="J333" i="5"/>
  <c r="J331" i="5"/>
  <c r="J329" i="5"/>
  <c r="J330" i="5" s="1"/>
  <c r="J332" i="5" s="1"/>
  <c r="J328" i="5"/>
  <c r="J326" i="5"/>
  <c r="J324" i="5"/>
  <c r="J325" i="5" s="1"/>
  <c r="J327" i="5" s="1"/>
  <c r="J323" i="5"/>
  <c r="J321" i="5"/>
  <c r="J319" i="5"/>
  <c r="J320" i="5" s="1"/>
  <c r="J322" i="5" s="1"/>
  <c r="J318" i="5"/>
  <c r="J316" i="5"/>
  <c r="J314" i="5"/>
  <c r="J315" i="5" s="1"/>
  <c r="J317" i="5" s="1"/>
  <c r="J313" i="5"/>
  <c r="J311" i="5"/>
  <c r="J309" i="5"/>
  <c r="J310" i="5" s="1"/>
  <c r="J312" i="5" s="1"/>
  <c r="J308" i="5"/>
  <c r="J306" i="5"/>
  <c r="J302" i="5"/>
  <c r="J301" i="5"/>
  <c r="J299" i="5"/>
  <c r="J296" i="5"/>
  <c r="J295" i="5"/>
  <c r="J294" i="5"/>
  <c r="J293" i="5"/>
  <c r="J292" i="5"/>
  <c r="J291" i="5"/>
  <c r="J290" i="5"/>
  <c r="J289" i="5"/>
  <c r="J288" i="5"/>
  <c r="J287" i="5"/>
  <c r="J285" i="5"/>
  <c r="J282" i="5"/>
  <c r="J281" i="5"/>
  <c r="J279" i="5"/>
  <c r="J276" i="5"/>
  <c r="J274" i="5"/>
  <c r="J270" i="5"/>
  <c r="J268" i="5"/>
  <c r="J265" i="5"/>
  <c r="J263" i="5"/>
  <c r="J255" i="5"/>
  <c r="J253" i="5"/>
  <c r="J250" i="5"/>
  <c r="J248" i="5"/>
  <c r="J245" i="5"/>
  <c r="J243" i="5"/>
  <c r="J240" i="5"/>
  <c r="J238" i="5"/>
  <c r="J230" i="5"/>
  <c r="J228" i="5"/>
  <c r="J225" i="5"/>
  <c r="J223" i="5"/>
  <c r="J221" i="5"/>
  <c r="J222" i="5" s="1"/>
  <c r="J224" i="5" s="1"/>
  <c r="J220" i="5"/>
  <c r="J218" i="5"/>
  <c r="J216" i="5"/>
  <c r="J215" i="5"/>
  <c r="J214" i="5"/>
  <c r="J212" i="5"/>
  <c r="J209" i="5"/>
  <c r="J208" i="5"/>
  <c r="J207" i="5"/>
  <c r="J206" i="5"/>
  <c r="J204" i="5"/>
  <c r="J202" i="5"/>
  <c r="J201" i="5"/>
  <c r="J200" i="5"/>
  <c r="J199" i="5"/>
  <c r="J198" i="5"/>
  <c r="J196" i="5"/>
  <c r="J194" i="5"/>
  <c r="J193" i="5"/>
  <c r="J192" i="5"/>
  <c r="J190" i="5"/>
  <c r="J188" i="5"/>
  <c r="J187" i="5"/>
  <c r="J186" i="5"/>
  <c r="J184" i="5"/>
  <c r="J182" i="5"/>
  <c r="J181" i="5"/>
  <c r="J179" i="5"/>
  <c r="J178" i="5"/>
  <c r="J176" i="5"/>
  <c r="J174" i="5"/>
  <c r="J173" i="5"/>
  <c r="J172" i="5"/>
  <c r="J171" i="5"/>
  <c r="J170" i="5"/>
  <c r="J168" i="5"/>
  <c r="J166" i="5"/>
  <c r="J165" i="5"/>
  <c r="J164" i="5"/>
  <c r="J163" i="5"/>
  <c r="J162" i="5"/>
  <c r="J160" i="5"/>
  <c r="J158" i="5"/>
  <c r="J157" i="5"/>
  <c r="J156" i="5"/>
  <c r="J154" i="5"/>
  <c r="J152" i="5"/>
  <c r="J151" i="5"/>
  <c r="J150" i="5"/>
  <c r="J148" i="5"/>
  <c r="J146" i="5"/>
  <c r="J147" i="5" s="1"/>
  <c r="J149" i="5" s="1"/>
  <c r="J145" i="5"/>
  <c r="J143" i="5"/>
  <c r="J141" i="5"/>
  <c r="J140" i="5"/>
  <c r="J139" i="5"/>
  <c r="J104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4" i="5"/>
  <c r="J72" i="5"/>
  <c r="J71" i="5"/>
  <c r="J70" i="5"/>
  <c r="J63" i="5"/>
  <c r="J61" i="5"/>
  <c r="J60" i="5"/>
  <c r="J59" i="5"/>
  <c r="J58" i="5"/>
  <c r="J56" i="5"/>
  <c r="J54" i="5"/>
  <c r="J55" i="5" s="1"/>
  <c r="J53" i="5"/>
  <c r="J51" i="5"/>
  <c r="J52" i="5" s="1"/>
  <c r="J50" i="5"/>
  <c r="J48" i="5"/>
  <c r="J46" i="5"/>
  <c r="J45" i="5"/>
  <c r="J44" i="5"/>
  <c r="J43" i="5"/>
  <c r="J42" i="5"/>
  <c r="J37" i="5"/>
  <c r="J35" i="5"/>
  <c r="J34" i="5"/>
  <c r="J33" i="5"/>
  <c r="J32" i="5"/>
  <c r="J31" i="5"/>
  <c r="J30" i="5"/>
  <c r="J28" i="5"/>
  <c r="J26" i="5"/>
  <c r="J27" i="5" s="1"/>
  <c r="J29" i="5" s="1"/>
  <c r="J25" i="5"/>
  <c r="J23" i="5"/>
  <c r="J21" i="5"/>
  <c r="J20" i="5"/>
  <c r="J19" i="5"/>
  <c r="J18" i="5"/>
  <c r="J14" i="5"/>
  <c r="J12" i="5"/>
  <c r="J11" i="5"/>
  <c r="J10" i="5"/>
  <c r="M975" i="5"/>
  <c r="M973" i="5"/>
  <c r="M974" i="5" s="1"/>
  <c r="M972" i="5"/>
  <c r="M970" i="5"/>
  <c r="M971" i="5" s="1"/>
  <c r="M969" i="5"/>
  <c r="M967" i="5"/>
  <c r="M964" i="5"/>
  <c r="M962" i="5"/>
  <c r="M961" i="5"/>
  <c r="M960" i="5"/>
  <c r="M958" i="5"/>
  <c r="M957" i="5"/>
  <c r="M956" i="5"/>
  <c r="M954" i="5"/>
  <c r="M952" i="5"/>
  <c r="M951" i="5"/>
  <c r="M950" i="5"/>
  <c r="M949" i="5"/>
  <c r="M947" i="5"/>
  <c r="M945" i="5"/>
  <c r="M944" i="5"/>
  <c r="M942" i="5"/>
  <c r="M940" i="5"/>
  <c r="M941" i="5" s="1"/>
  <c r="M939" i="5"/>
  <c r="M937" i="5"/>
  <c r="M936" i="5"/>
  <c r="M935" i="5"/>
  <c r="M934" i="5"/>
  <c r="M932" i="5"/>
  <c r="M928" i="5"/>
  <c r="M926" i="5"/>
  <c r="M925" i="5"/>
  <c r="M924" i="5"/>
  <c r="M923" i="5"/>
  <c r="M921" i="5"/>
  <c r="M920" i="5"/>
  <c r="M919" i="5"/>
  <c r="M918" i="5"/>
  <c r="M917" i="5"/>
  <c r="M916" i="5"/>
  <c r="M915" i="5"/>
  <c r="M914" i="5"/>
  <c r="M913" i="5"/>
  <c r="M912" i="5"/>
  <c r="M910" i="5"/>
  <c r="M907" i="5"/>
  <c r="M905" i="5"/>
  <c r="M901" i="5"/>
  <c r="M899" i="5"/>
  <c r="M895" i="5"/>
  <c r="M893" i="5"/>
  <c r="M885" i="5"/>
  <c r="M883" i="5"/>
  <c r="M880" i="5"/>
  <c r="M878" i="5"/>
  <c r="M875" i="5"/>
  <c r="M873" i="5"/>
  <c r="M869" i="5"/>
  <c r="M867" i="5"/>
  <c r="M864" i="5"/>
  <c r="M862" i="5"/>
  <c r="M859" i="5"/>
  <c r="M857" i="5"/>
  <c r="M845" i="5"/>
  <c r="M843" i="5"/>
  <c r="M840" i="5"/>
  <c r="M838" i="5"/>
  <c r="M834" i="5"/>
  <c r="M832" i="5"/>
  <c r="M829" i="5"/>
  <c r="M827" i="5"/>
  <c r="M818" i="5"/>
  <c r="M816" i="5"/>
  <c r="M814" i="5"/>
  <c r="M815" i="5" s="1"/>
  <c r="M817" i="5" s="1"/>
  <c r="M813" i="5"/>
  <c r="M811" i="5"/>
  <c r="M809" i="5"/>
  <c r="M810" i="5" s="1"/>
  <c r="M812" i="5" s="1"/>
  <c r="M808" i="5"/>
  <c r="M806" i="5"/>
  <c r="M804" i="5"/>
  <c r="M805" i="5" s="1"/>
  <c r="M807" i="5" s="1"/>
  <c r="M803" i="5"/>
  <c r="M801" i="5"/>
  <c r="M799" i="5"/>
  <c r="M800" i="5" s="1"/>
  <c r="M802" i="5" s="1"/>
  <c r="M798" i="5"/>
  <c r="M796" i="5"/>
  <c r="M794" i="5"/>
  <c r="M795" i="5" s="1"/>
  <c r="M797" i="5" s="1"/>
  <c r="M793" i="5"/>
  <c r="M791" i="5"/>
  <c r="M789" i="5"/>
  <c r="M790" i="5" s="1"/>
  <c r="M792" i="5" s="1"/>
  <c r="M788" i="5"/>
  <c r="M786" i="5"/>
  <c r="M784" i="5"/>
  <c r="M785" i="5" s="1"/>
  <c r="M787" i="5" s="1"/>
  <c r="M783" i="5"/>
  <c r="M781" i="5"/>
  <c r="M779" i="5"/>
  <c r="M780" i="5" s="1"/>
  <c r="M782" i="5" s="1"/>
  <c r="M778" i="5"/>
  <c r="M776" i="5"/>
  <c r="M774" i="5"/>
  <c r="M775" i="5" s="1"/>
  <c r="M777" i="5" s="1"/>
  <c r="M773" i="5"/>
  <c r="M771" i="5"/>
  <c r="M769" i="5"/>
  <c r="M768" i="5"/>
  <c r="M767" i="5"/>
  <c r="M766" i="5"/>
  <c r="M765" i="5"/>
  <c r="M764" i="5"/>
  <c r="M763" i="5"/>
  <c r="M761" i="5"/>
  <c r="M759" i="5"/>
  <c r="M760" i="5" s="1"/>
  <c r="M762" i="5" s="1"/>
  <c r="M758" i="5"/>
  <c r="M756" i="5"/>
  <c r="M754" i="5"/>
  <c r="M755" i="5" s="1"/>
  <c r="M757" i="5" s="1"/>
  <c r="M753" i="5"/>
  <c r="M751" i="5"/>
  <c r="M749" i="5"/>
  <c r="M750" i="5" s="1"/>
  <c r="M752" i="5" s="1"/>
  <c r="M748" i="5"/>
  <c r="M746" i="5"/>
  <c r="M744" i="5"/>
  <c r="M745" i="5" s="1"/>
  <c r="M747" i="5" s="1"/>
  <c r="M743" i="5"/>
  <c r="M741" i="5"/>
  <c r="M739" i="5"/>
  <c r="M740" i="5" s="1"/>
  <c r="M742" i="5" s="1"/>
  <c r="M738" i="5"/>
  <c r="M736" i="5"/>
  <c r="M734" i="5"/>
  <c r="M735" i="5" s="1"/>
  <c r="M737" i="5" s="1"/>
  <c r="M733" i="5"/>
  <c r="M731" i="5"/>
  <c r="M729" i="5"/>
  <c r="M730" i="5" s="1"/>
  <c r="M732" i="5" s="1"/>
  <c r="M728" i="5"/>
  <c r="M726" i="5"/>
  <c r="M724" i="5"/>
  <c r="M725" i="5" s="1"/>
  <c r="M727" i="5" s="1"/>
  <c r="M723" i="5"/>
  <c r="M721" i="5"/>
  <c r="M719" i="5"/>
  <c r="M720" i="5" s="1"/>
  <c r="M722" i="5" s="1"/>
  <c r="M718" i="5"/>
  <c r="M716" i="5"/>
  <c r="M714" i="5"/>
  <c r="M715" i="5" s="1"/>
  <c r="M717" i="5" s="1"/>
  <c r="M713" i="5"/>
  <c r="M711" i="5"/>
  <c r="M709" i="5"/>
  <c r="M710" i="5" s="1"/>
  <c r="M712" i="5" s="1"/>
  <c r="M708" i="5"/>
  <c r="M706" i="5"/>
  <c r="M704" i="5"/>
  <c r="M703" i="5"/>
  <c r="M702" i="5"/>
  <c r="M701" i="5"/>
  <c r="M700" i="5"/>
  <c r="M698" i="5"/>
  <c r="M696" i="5"/>
  <c r="M697" i="5" s="1"/>
  <c r="M699" i="5" s="1"/>
  <c r="M695" i="5"/>
  <c r="M693" i="5"/>
  <c r="M691" i="5"/>
  <c r="M692" i="5" s="1"/>
  <c r="M694" i="5" s="1"/>
  <c r="M690" i="5"/>
  <c r="M688" i="5"/>
  <c r="M686" i="5"/>
  <c r="M687" i="5" s="1"/>
  <c r="M689" i="5" s="1"/>
  <c r="M685" i="5"/>
  <c r="M683" i="5"/>
  <c r="M681" i="5"/>
  <c r="M680" i="5"/>
  <c r="M679" i="5"/>
  <c r="M677" i="5"/>
  <c r="M675" i="5"/>
  <c r="M674" i="5"/>
  <c r="M673" i="5"/>
  <c r="M672" i="5"/>
  <c r="M670" i="5"/>
  <c r="M668" i="5"/>
  <c r="M669" i="5" s="1"/>
  <c r="M671" i="5" s="1"/>
  <c r="M667" i="5"/>
  <c r="M665" i="5"/>
  <c r="M663" i="5"/>
  <c r="M662" i="5"/>
  <c r="M661" i="5"/>
  <c r="M660" i="5"/>
  <c r="M658" i="5"/>
  <c r="M656" i="5"/>
  <c r="M657" i="5" s="1"/>
  <c r="M659" i="5" s="1"/>
  <c r="M655" i="5"/>
  <c r="M653" i="5"/>
  <c r="M651" i="5"/>
  <c r="M650" i="5"/>
  <c r="M649" i="5"/>
  <c r="M647" i="5"/>
  <c r="M645" i="5"/>
  <c r="M644" i="5"/>
  <c r="M642" i="5"/>
  <c r="M641" i="5"/>
  <c r="M639" i="5"/>
  <c r="M636" i="5"/>
  <c r="M635" i="5"/>
  <c r="M633" i="5"/>
  <c r="M631" i="5"/>
  <c r="M629" i="5"/>
  <c r="M628" i="5"/>
  <c r="M627" i="5"/>
  <c r="M626" i="5"/>
  <c r="M625" i="5"/>
  <c r="M624" i="5"/>
  <c r="M622" i="5"/>
  <c r="M620" i="5"/>
  <c r="M621" i="5" s="1"/>
  <c r="M623" i="5" s="1"/>
  <c r="M619" i="5"/>
  <c r="M617" i="5"/>
  <c r="M615" i="5"/>
  <c r="M614" i="5"/>
  <c r="M613" i="5"/>
  <c r="M611" i="5"/>
  <c r="M609" i="5"/>
  <c r="M608" i="5"/>
  <c r="M607" i="5"/>
  <c r="M606" i="5"/>
  <c r="M605" i="5"/>
  <c r="M604" i="5"/>
  <c r="M603" i="5"/>
  <c r="M602" i="5"/>
  <c r="M600" i="5"/>
  <c r="M598" i="5"/>
  <c r="M597" i="5"/>
  <c r="M596" i="5"/>
  <c r="M595" i="5"/>
  <c r="M594" i="5"/>
  <c r="M593" i="5"/>
  <c r="M592" i="5"/>
  <c r="M591" i="5"/>
  <c r="M590" i="5"/>
  <c r="M589" i="5"/>
  <c r="M587" i="5"/>
  <c r="M584" i="5"/>
  <c r="M583" i="5"/>
  <c r="M582" i="5"/>
  <c r="M581" i="5"/>
  <c r="M576" i="5"/>
  <c r="M574" i="5"/>
  <c r="M572" i="5"/>
  <c r="M573" i="5" s="1"/>
  <c r="M575" i="5" s="1"/>
  <c r="M571" i="5"/>
  <c r="M569" i="5"/>
  <c r="M567" i="5"/>
  <c r="M566" i="5"/>
  <c r="M565" i="5"/>
  <c r="M563" i="5"/>
  <c r="M561" i="5"/>
  <c r="M562" i="5" s="1"/>
  <c r="M564" i="5" s="1"/>
  <c r="M560" i="5"/>
  <c r="M558" i="5"/>
  <c r="M556" i="5"/>
  <c r="M557" i="5" s="1"/>
  <c r="M559" i="5" s="1"/>
  <c r="M555" i="5"/>
  <c r="M553" i="5"/>
  <c r="M551" i="5"/>
  <c r="M552" i="5" s="1"/>
  <c r="M554" i="5" s="1"/>
  <c r="M550" i="5"/>
  <c r="M548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3" i="5"/>
  <c r="M531" i="5"/>
  <c r="M532" i="5" s="1"/>
  <c r="M534" i="5" s="1"/>
  <c r="M530" i="5"/>
  <c r="M528" i="5"/>
  <c r="M526" i="5"/>
  <c r="M527" i="5" s="1"/>
  <c r="M529" i="5" s="1"/>
  <c r="M525" i="5"/>
  <c r="M523" i="5"/>
  <c r="M521" i="5"/>
  <c r="M520" i="5"/>
  <c r="M519" i="5"/>
  <c r="M518" i="5"/>
  <c r="M516" i="5"/>
  <c r="M514" i="5"/>
  <c r="M515" i="5" s="1"/>
  <c r="M517" i="5" s="1"/>
  <c r="M513" i="5"/>
  <c r="M511" i="5"/>
  <c r="M509" i="5"/>
  <c r="M510" i="5" s="1"/>
  <c r="M512" i="5" s="1"/>
  <c r="M508" i="5"/>
  <c r="M506" i="5"/>
  <c r="M504" i="5"/>
  <c r="M505" i="5" s="1"/>
  <c r="M507" i="5" s="1"/>
  <c r="M503" i="5"/>
  <c r="M501" i="5"/>
  <c r="M499" i="5"/>
  <c r="M498" i="5"/>
  <c r="M497" i="5"/>
  <c r="M496" i="5"/>
  <c r="M494" i="5"/>
  <c r="M492" i="5"/>
  <c r="M491" i="5"/>
  <c r="M490" i="5"/>
  <c r="M489" i="5"/>
  <c r="M487" i="5"/>
  <c r="M485" i="5"/>
  <c r="M486" i="5" s="1"/>
  <c r="M488" i="5" s="1"/>
  <c r="M484" i="5"/>
  <c r="M482" i="5"/>
  <c r="M480" i="5"/>
  <c r="M479" i="5"/>
  <c r="M478" i="5"/>
  <c r="M477" i="5"/>
  <c r="M476" i="5"/>
  <c r="M474" i="5"/>
  <c r="M472" i="5"/>
  <c r="M471" i="5"/>
  <c r="M470" i="5"/>
  <c r="M469" i="5"/>
  <c r="M468" i="5"/>
  <c r="M466" i="5"/>
  <c r="M464" i="5"/>
  <c r="M463" i="5"/>
  <c r="M462" i="5"/>
  <c r="M460" i="5"/>
  <c r="M458" i="5"/>
  <c r="M459" i="5" s="1"/>
  <c r="M461" i="5" s="1"/>
  <c r="M457" i="5"/>
  <c r="M455" i="5"/>
  <c r="M453" i="5"/>
  <c r="M454" i="5" s="1"/>
  <c r="M456" i="5" s="1"/>
  <c r="M452" i="5"/>
  <c r="M450" i="5"/>
  <c r="M448" i="5"/>
  <c r="M449" i="5" s="1"/>
  <c r="M451" i="5" s="1"/>
  <c r="M447" i="5"/>
  <c r="M445" i="5"/>
  <c r="M443" i="5"/>
  <c r="M444" i="5" s="1"/>
  <c r="M446" i="5" s="1"/>
  <c r="M442" i="5"/>
  <c r="M440" i="5"/>
  <c r="M438" i="5"/>
  <c r="M439" i="5" s="1"/>
  <c r="M441" i="5" s="1"/>
  <c r="M437" i="5"/>
  <c r="M435" i="5"/>
  <c r="M433" i="5"/>
  <c r="M434" i="5" s="1"/>
  <c r="M436" i="5" s="1"/>
  <c r="M432" i="5"/>
  <c r="M430" i="5"/>
  <c r="M428" i="5"/>
  <c r="M429" i="5" s="1"/>
  <c r="M431" i="5" s="1"/>
  <c r="M427" i="5"/>
  <c r="M425" i="5"/>
  <c r="M423" i="5"/>
  <c r="M422" i="5"/>
  <c r="M421" i="5"/>
  <c r="M420" i="5"/>
  <c r="M419" i="5"/>
  <c r="M418" i="5"/>
  <c r="M417" i="5"/>
  <c r="M415" i="5"/>
  <c r="M413" i="5"/>
  <c r="M414" i="5" s="1"/>
  <c r="M416" i="5" s="1"/>
  <c r="M412" i="5"/>
  <c r="M410" i="5"/>
  <c r="M408" i="5"/>
  <c r="M407" i="5"/>
  <c r="M406" i="5"/>
  <c r="M404" i="5"/>
  <c r="M402" i="5"/>
  <c r="M403" i="5" s="1"/>
  <c r="M405" i="5" s="1"/>
  <c r="M401" i="5"/>
  <c r="M399" i="5"/>
  <c r="M397" i="5"/>
  <c r="M396" i="5"/>
  <c r="M395" i="5"/>
  <c r="M393" i="5"/>
  <c r="M391" i="5"/>
  <c r="M390" i="5"/>
  <c r="M389" i="5"/>
  <c r="M387" i="5"/>
  <c r="M385" i="5"/>
  <c r="M384" i="5"/>
  <c r="M383" i="5"/>
  <c r="M381" i="5"/>
  <c r="M379" i="5"/>
  <c r="M380" i="5" s="1"/>
  <c r="M382" i="5" s="1"/>
  <c r="M378" i="5"/>
  <c r="M376" i="5"/>
  <c r="M374" i="5"/>
  <c r="M375" i="5" s="1"/>
  <c r="M377" i="5" s="1"/>
  <c r="M373" i="5"/>
  <c r="M371" i="5"/>
  <c r="M369" i="5"/>
  <c r="M368" i="5"/>
  <c r="M367" i="5"/>
  <c r="M366" i="5"/>
  <c r="M364" i="5"/>
  <c r="M362" i="5"/>
  <c r="M363" i="5" s="1"/>
  <c r="M365" i="5" s="1"/>
  <c r="M361" i="5"/>
  <c r="M359" i="5"/>
  <c r="M354" i="5"/>
  <c r="M353" i="5"/>
  <c r="M352" i="5"/>
  <c r="M351" i="5"/>
  <c r="M350" i="5"/>
  <c r="M349" i="5"/>
  <c r="M348" i="5"/>
  <c r="M347" i="5"/>
  <c r="M346" i="5"/>
  <c r="M345" i="5"/>
  <c r="M343" i="5"/>
  <c r="M340" i="5"/>
  <c r="M338" i="5"/>
  <c r="M333" i="5"/>
  <c r="M331" i="5"/>
  <c r="M328" i="5"/>
  <c r="M326" i="5"/>
  <c r="M323" i="5"/>
  <c r="M321" i="5"/>
  <c r="M318" i="5"/>
  <c r="M316" i="5"/>
  <c r="M313" i="5"/>
  <c r="M311" i="5"/>
  <c r="M308" i="5"/>
  <c r="M306" i="5"/>
  <c r="M301" i="5"/>
  <c r="M299" i="5"/>
  <c r="M287" i="5"/>
  <c r="M285" i="5"/>
  <c r="M281" i="5"/>
  <c r="M279" i="5"/>
  <c r="M277" i="5"/>
  <c r="M278" i="5" s="1"/>
  <c r="M280" i="5" s="1"/>
  <c r="M276" i="5"/>
  <c r="M274" i="5"/>
  <c r="M272" i="5"/>
  <c r="M271" i="5"/>
  <c r="M270" i="5"/>
  <c r="M268" i="5"/>
  <c r="M266" i="5"/>
  <c r="M267" i="5" s="1"/>
  <c r="M269" i="5" s="1"/>
  <c r="M265" i="5"/>
  <c r="M263" i="5"/>
  <c r="M261" i="5"/>
  <c r="M260" i="5"/>
  <c r="M259" i="5"/>
  <c r="M258" i="5"/>
  <c r="M257" i="5"/>
  <c r="M256" i="5"/>
  <c r="M255" i="5"/>
  <c r="M253" i="5"/>
  <c r="M251" i="5"/>
  <c r="M252" i="5" s="1"/>
  <c r="M254" i="5" s="1"/>
  <c r="M250" i="5"/>
  <c r="M248" i="5"/>
  <c r="M246" i="5"/>
  <c r="M247" i="5" s="1"/>
  <c r="M249" i="5" s="1"/>
  <c r="M245" i="5"/>
  <c r="M243" i="5"/>
  <c r="M241" i="5"/>
  <c r="M242" i="5" s="1"/>
  <c r="M244" i="5" s="1"/>
  <c r="M240" i="5"/>
  <c r="M238" i="5"/>
  <c r="M236" i="5"/>
  <c r="M235" i="5"/>
  <c r="M234" i="5"/>
  <c r="M233" i="5"/>
  <c r="M232" i="5"/>
  <c r="M231" i="5"/>
  <c r="M230" i="5"/>
  <c r="M228" i="5"/>
  <c r="M226" i="5"/>
  <c r="M227" i="5" s="1"/>
  <c r="M229" i="5" s="1"/>
  <c r="M225" i="5"/>
  <c r="M223" i="5"/>
  <c r="M221" i="5"/>
  <c r="M222" i="5" s="1"/>
  <c r="M224" i="5" s="1"/>
  <c r="M220" i="5"/>
  <c r="M218" i="5"/>
  <c r="M216" i="5"/>
  <c r="M215" i="5"/>
  <c r="M214" i="5"/>
  <c r="M212" i="5"/>
  <c r="M209" i="5"/>
  <c r="M208" i="5"/>
  <c r="M207" i="5"/>
  <c r="M206" i="5"/>
  <c r="M204" i="5"/>
  <c r="M202" i="5"/>
  <c r="M201" i="5"/>
  <c r="M200" i="5"/>
  <c r="M199" i="5"/>
  <c r="M198" i="5"/>
  <c r="M196" i="5"/>
  <c r="M194" i="5"/>
  <c r="M193" i="5"/>
  <c r="M192" i="5"/>
  <c r="M190" i="5"/>
  <c r="M188" i="5"/>
  <c r="M187" i="5"/>
  <c r="M186" i="5"/>
  <c r="M184" i="5"/>
  <c r="M182" i="5"/>
  <c r="M181" i="5"/>
  <c r="M179" i="5"/>
  <c r="M178" i="5"/>
  <c r="M176" i="5"/>
  <c r="M174" i="5"/>
  <c r="M173" i="5"/>
  <c r="M172" i="5"/>
  <c r="M171" i="5"/>
  <c r="M170" i="5"/>
  <c r="M168" i="5"/>
  <c r="M166" i="5"/>
  <c r="M165" i="5"/>
  <c r="M164" i="5"/>
  <c r="M163" i="5"/>
  <c r="M162" i="5"/>
  <c r="M160" i="5"/>
  <c r="M158" i="5"/>
  <c r="M157" i="5"/>
  <c r="M156" i="5"/>
  <c r="M154" i="5"/>
  <c r="M152" i="5"/>
  <c r="M151" i="5"/>
  <c r="M150" i="5"/>
  <c r="M148" i="5"/>
  <c r="M146" i="5"/>
  <c r="M147" i="5" s="1"/>
  <c r="M149" i="5" s="1"/>
  <c r="M145" i="5"/>
  <c r="M143" i="5"/>
  <c r="M139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4" i="5"/>
  <c r="M70" i="5"/>
  <c r="M68" i="5"/>
  <c r="M67" i="5"/>
  <c r="M66" i="5"/>
  <c r="M65" i="5"/>
  <c r="M64" i="5"/>
  <c r="M63" i="5"/>
  <c r="M61" i="5"/>
  <c r="M60" i="5"/>
  <c r="M59" i="5"/>
  <c r="M58" i="5"/>
  <c r="M56" i="5"/>
  <c r="M51" i="5"/>
  <c r="M52" i="5" s="1"/>
  <c r="M50" i="5"/>
  <c r="M48" i="5"/>
  <c r="M42" i="5"/>
  <c r="M40" i="5"/>
  <c r="M39" i="5"/>
  <c r="M38" i="5"/>
  <c r="M37" i="5"/>
  <c r="M35" i="5"/>
  <c r="M34" i="5"/>
  <c r="M33" i="5"/>
  <c r="M32" i="5"/>
  <c r="M31" i="5"/>
  <c r="M30" i="5"/>
  <c r="M28" i="5"/>
  <c r="M26" i="5"/>
  <c r="M27" i="5" s="1"/>
  <c r="M29" i="5" s="1"/>
  <c r="M25" i="5"/>
  <c r="M23" i="5"/>
  <c r="M18" i="5"/>
  <c r="M16" i="5"/>
  <c r="M15" i="5"/>
  <c r="M14" i="5"/>
  <c r="M12" i="5"/>
  <c r="M11" i="5"/>
  <c r="M10" i="5"/>
  <c r="G975" i="5"/>
  <c r="G973" i="5"/>
  <c r="G974" i="5" s="1"/>
  <c r="G972" i="5"/>
  <c r="G969" i="5"/>
  <c r="G967" i="5"/>
  <c r="G965" i="5"/>
  <c r="G966" i="5" s="1"/>
  <c r="G964" i="5"/>
  <c r="G962" i="5"/>
  <c r="G961" i="5"/>
  <c r="G960" i="5"/>
  <c r="G956" i="5"/>
  <c r="G954" i="5"/>
  <c r="G952" i="5"/>
  <c r="G951" i="5"/>
  <c r="G950" i="5"/>
  <c r="G949" i="5"/>
  <c r="G944" i="5"/>
  <c r="G942" i="5"/>
  <c r="G940" i="5"/>
  <c r="G941" i="5" s="1"/>
  <c r="G939" i="5"/>
  <c r="G934" i="5"/>
  <c r="G932" i="5"/>
  <c r="G930" i="5"/>
  <c r="G929" i="5"/>
  <c r="G928" i="5"/>
  <c r="G926" i="5"/>
  <c r="G925" i="5"/>
  <c r="G924" i="5"/>
  <c r="G923" i="5"/>
  <c r="G912" i="5"/>
  <c r="G910" i="5"/>
  <c r="G908" i="5"/>
  <c r="G909" i="5" s="1"/>
  <c r="G911" i="5" s="1"/>
  <c r="G907" i="5"/>
  <c r="G905" i="5"/>
  <c r="G903" i="5"/>
  <c r="G902" i="5"/>
  <c r="G901" i="5"/>
  <c r="G899" i="5"/>
  <c r="G897" i="5"/>
  <c r="G896" i="5"/>
  <c r="G895" i="5"/>
  <c r="G893" i="5"/>
  <c r="G890" i="5"/>
  <c r="G889" i="5"/>
  <c r="G888" i="5"/>
  <c r="G887" i="5"/>
  <c r="G886" i="5"/>
  <c r="G885" i="5"/>
  <c r="G883" i="5"/>
  <c r="G881" i="5"/>
  <c r="G882" i="5" s="1"/>
  <c r="G884" i="5" s="1"/>
  <c r="G880" i="5"/>
  <c r="G878" i="5"/>
  <c r="G876" i="5"/>
  <c r="G877" i="5" s="1"/>
  <c r="G879" i="5" s="1"/>
  <c r="G875" i="5"/>
  <c r="G873" i="5"/>
  <c r="G871" i="5"/>
  <c r="G870" i="5"/>
  <c r="G869" i="5"/>
  <c r="G867" i="5"/>
  <c r="G865" i="5"/>
  <c r="G866" i="5" s="1"/>
  <c r="G868" i="5" s="1"/>
  <c r="G864" i="5"/>
  <c r="G862" i="5"/>
  <c r="G860" i="5"/>
  <c r="G861" i="5" s="1"/>
  <c r="G863" i="5" s="1"/>
  <c r="G859" i="5"/>
  <c r="G857" i="5"/>
  <c r="G854" i="5"/>
  <c r="G853" i="5"/>
  <c r="G852" i="5"/>
  <c r="G851" i="5"/>
  <c r="G850" i="5"/>
  <c r="G849" i="5"/>
  <c r="G848" i="5"/>
  <c r="G847" i="5"/>
  <c r="G846" i="5"/>
  <c r="G845" i="5"/>
  <c r="G843" i="5"/>
  <c r="G841" i="5"/>
  <c r="G842" i="5" s="1"/>
  <c r="G844" i="5" s="1"/>
  <c r="G840" i="5"/>
  <c r="G838" i="5"/>
  <c r="G836" i="5"/>
  <c r="G835" i="5"/>
  <c r="G834" i="5"/>
  <c r="G832" i="5"/>
  <c r="G830" i="5"/>
  <c r="G831" i="5" s="1"/>
  <c r="G833" i="5" s="1"/>
  <c r="G829" i="5"/>
  <c r="G827" i="5"/>
  <c r="G825" i="5"/>
  <c r="G824" i="5"/>
  <c r="G823" i="5"/>
  <c r="G822" i="5"/>
  <c r="G821" i="5"/>
  <c r="G820" i="5"/>
  <c r="G819" i="5"/>
  <c r="G818" i="5"/>
  <c r="G816" i="5"/>
  <c r="G814" i="5"/>
  <c r="G815" i="5" s="1"/>
  <c r="G817" i="5" s="1"/>
  <c r="G813" i="5"/>
  <c r="G811" i="5"/>
  <c r="G809" i="5"/>
  <c r="G810" i="5" s="1"/>
  <c r="G812" i="5" s="1"/>
  <c r="G808" i="5"/>
  <c r="G806" i="5"/>
  <c r="G804" i="5"/>
  <c r="G805" i="5" s="1"/>
  <c r="G807" i="5" s="1"/>
  <c r="G803" i="5"/>
  <c r="G801" i="5"/>
  <c r="G799" i="5"/>
  <c r="G800" i="5" s="1"/>
  <c r="G802" i="5" s="1"/>
  <c r="G798" i="5"/>
  <c r="G796" i="5"/>
  <c r="G794" i="5"/>
  <c r="G795" i="5" s="1"/>
  <c r="G797" i="5" s="1"/>
  <c r="G793" i="5"/>
  <c r="G791" i="5"/>
  <c r="G789" i="5"/>
  <c r="G790" i="5" s="1"/>
  <c r="G792" i="5" s="1"/>
  <c r="G788" i="5"/>
  <c r="G786" i="5"/>
  <c r="G784" i="5"/>
  <c r="G785" i="5" s="1"/>
  <c r="G787" i="5" s="1"/>
  <c r="G783" i="5"/>
  <c r="G781" i="5"/>
  <c r="G779" i="5"/>
  <c r="G780" i="5" s="1"/>
  <c r="G782" i="5" s="1"/>
  <c r="G778" i="5"/>
  <c r="G776" i="5"/>
  <c r="G774" i="5"/>
  <c r="G775" i="5" s="1"/>
  <c r="G777" i="5" s="1"/>
  <c r="G773" i="5"/>
  <c r="G771" i="5"/>
  <c r="G769" i="5"/>
  <c r="G768" i="5"/>
  <c r="G767" i="5"/>
  <c r="G766" i="5"/>
  <c r="G765" i="5"/>
  <c r="G764" i="5"/>
  <c r="G763" i="5"/>
  <c r="G761" i="5"/>
  <c r="G759" i="5"/>
  <c r="G760" i="5" s="1"/>
  <c r="G762" i="5" s="1"/>
  <c r="G758" i="5"/>
  <c r="G756" i="5"/>
  <c r="G754" i="5"/>
  <c r="G755" i="5" s="1"/>
  <c r="G757" i="5" s="1"/>
  <c r="G753" i="5"/>
  <c r="G751" i="5"/>
  <c r="G749" i="5"/>
  <c r="G750" i="5" s="1"/>
  <c r="G752" i="5" s="1"/>
  <c r="G748" i="5"/>
  <c r="G746" i="5"/>
  <c r="G744" i="5"/>
  <c r="G745" i="5" s="1"/>
  <c r="G747" i="5" s="1"/>
  <c r="G743" i="5"/>
  <c r="G741" i="5"/>
  <c r="G739" i="5"/>
  <c r="G740" i="5" s="1"/>
  <c r="G742" i="5" s="1"/>
  <c r="G738" i="5"/>
  <c r="G736" i="5"/>
  <c r="G734" i="5"/>
  <c r="G735" i="5" s="1"/>
  <c r="G737" i="5" s="1"/>
  <c r="G733" i="5"/>
  <c r="G731" i="5"/>
  <c r="G729" i="5"/>
  <c r="G730" i="5" s="1"/>
  <c r="G732" i="5" s="1"/>
  <c r="G728" i="5"/>
  <c r="G726" i="5"/>
  <c r="G724" i="5"/>
  <c r="G725" i="5" s="1"/>
  <c r="G727" i="5" s="1"/>
  <c r="G723" i="5"/>
  <c r="G721" i="5"/>
  <c r="G719" i="5"/>
  <c r="G720" i="5" s="1"/>
  <c r="G722" i="5" s="1"/>
  <c r="G718" i="5"/>
  <c r="G716" i="5"/>
  <c r="G714" i="5"/>
  <c r="G715" i="5" s="1"/>
  <c r="G717" i="5" s="1"/>
  <c r="G713" i="5"/>
  <c r="G711" i="5"/>
  <c r="G709" i="5"/>
  <c r="G710" i="5" s="1"/>
  <c r="G712" i="5" s="1"/>
  <c r="G708" i="5"/>
  <c r="G706" i="5"/>
  <c r="G704" i="5"/>
  <c r="G703" i="5"/>
  <c r="G702" i="5"/>
  <c r="G701" i="5"/>
  <c r="G700" i="5"/>
  <c r="G698" i="5"/>
  <c r="G696" i="5"/>
  <c r="G697" i="5" s="1"/>
  <c r="G699" i="5" s="1"/>
  <c r="G695" i="5"/>
  <c r="G693" i="5"/>
  <c r="G691" i="5"/>
  <c r="G692" i="5" s="1"/>
  <c r="G694" i="5" s="1"/>
  <c r="G690" i="5"/>
  <c r="G688" i="5"/>
  <c r="G686" i="5"/>
  <c r="G687" i="5" s="1"/>
  <c r="G689" i="5" s="1"/>
  <c r="G685" i="5"/>
  <c r="G683" i="5"/>
  <c r="G679" i="5"/>
  <c r="G677" i="5"/>
  <c r="G672" i="5"/>
  <c r="G670" i="5"/>
  <c r="G667" i="5"/>
  <c r="G665" i="5"/>
  <c r="G660" i="5"/>
  <c r="G658" i="5"/>
  <c r="G655" i="5"/>
  <c r="G653" i="5"/>
  <c r="G649" i="5"/>
  <c r="G647" i="5"/>
  <c r="G641" i="5"/>
  <c r="G639" i="5"/>
  <c r="G635" i="5"/>
  <c r="G633" i="5"/>
  <c r="G624" i="5"/>
  <c r="G622" i="5"/>
  <c r="G619" i="5"/>
  <c r="G617" i="5"/>
  <c r="G613" i="5"/>
  <c r="G611" i="5"/>
  <c r="G602" i="5"/>
  <c r="G600" i="5"/>
  <c r="G589" i="5"/>
  <c r="G587" i="5"/>
  <c r="G576" i="5"/>
  <c r="G574" i="5"/>
  <c r="G571" i="5"/>
  <c r="G569" i="5"/>
  <c r="G565" i="5"/>
  <c r="G563" i="5"/>
  <c r="G560" i="5"/>
  <c r="G558" i="5"/>
  <c r="G555" i="5"/>
  <c r="G553" i="5"/>
  <c r="G550" i="5"/>
  <c r="G548" i="5"/>
  <c r="G535" i="5"/>
  <c r="G533" i="5"/>
  <c r="G530" i="5"/>
  <c r="G528" i="5"/>
  <c r="G525" i="5"/>
  <c r="G523" i="5"/>
  <c r="G518" i="5"/>
  <c r="G516" i="5"/>
  <c r="G513" i="5"/>
  <c r="G511" i="5"/>
  <c r="G508" i="5"/>
  <c r="G506" i="5"/>
  <c r="G503" i="5"/>
  <c r="G501" i="5"/>
  <c r="G496" i="5"/>
  <c r="G494" i="5"/>
  <c r="G489" i="5"/>
  <c r="G487" i="5"/>
  <c r="G484" i="5"/>
  <c r="G482" i="5"/>
  <c r="G476" i="5"/>
  <c r="G474" i="5"/>
  <c r="G468" i="5"/>
  <c r="G466" i="5"/>
  <c r="G462" i="5"/>
  <c r="G460" i="5"/>
  <c r="G457" i="5"/>
  <c r="G455" i="5"/>
  <c r="G452" i="5"/>
  <c r="G450" i="5"/>
  <c r="G447" i="5"/>
  <c r="G445" i="5"/>
  <c r="G442" i="5"/>
  <c r="G440" i="5"/>
  <c r="G437" i="5"/>
  <c r="G435" i="5"/>
  <c r="G432" i="5"/>
  <c r="G430" i="5"/>
  <c r="G427" i="5"/>
  <c r="G425" i="5"/>
  <c r="G417" i="5"/>
  <c r="G415" i="5"/>
  <c r="G412" i="5"/>
  <c r="G410" i="5"/>
  <c r="G406" i="5"/>
  <c r="G404" i="5"/>
  <c r="G401" i="5"/>
  <c r="G399" i="5"/>
  <c r="G395" i="5"/>
  <c r="G393" i="5"/>
  <c r="G389" i="5"/>
  <c r="G387" i="5"/>
  <c r="G383" i="5"/>
  <c r="G381" i="5"/>
  <c r="G378" i="5"/>
  <c r="G376" i="5"/>
  <c r="G373" i="5"/>
  <c r="G371" i="5"/>
  <c r="G366" i="5"/>
  <c r="G364" i="5"/>
  <c r="G361" i="5"/>
  <c r="G359" i="5"/>
  <c r="G345" i="5"/>
  <c r="G343" i="5"/>
  <c r="G341" i="5"/>
  <c r="G342" i="5" s="1"/>
  <c r="G344" i="5" s="1"/>
  <c r="G340" i="5"/>
  <c r="G338" i="5"/>
  <c r="G335" i="5"/>
  <c r="G334" i="5"/>
  <c r="G333" i="5"/>
  <c r="G331" i="5"/>
  <c r="G329" i="5"/>
  <c r="G330" i="5" s="1"/>
  <c r="G332" i="5" s="1"/>
  <c r="G328" i="5"/>
  <c r="G326" i="5"/>
  <c r="G324" i="5"/>
  <c r="G325" i="5" s="1"/>
  <c r="G327" i="5" s="1"/>
  <c r="G323" i="5"/>
  <c r="G321" i="5"/>
  <c r="G319" i="5"/>
  <c r="G320" i="5" s="1"/>
  <c r="G322" i="5" s="1"/>
  <c r="G318" i="5"/>
  <c r="G316" i="5"/>
  <c r="G314" i="5"/>
  <c r="G315" i="5" s="1"/>
  <c r="G317" i="5" s="1"/>
  <c r="G313" i="5"/>
  <c r="G311" i="5"/>
  <c r="G309" i="5"/>
  <c r="G310" i="5" s="1"/>
  <c r="G312" i="5" s="1"/>
  <c r="G308" i="5"/>
  <c r="G306" i="5"/>
  <c r="G302" i="5"/>
  <c r="G301" i="5"/>
  <c r="G299" i="5"/>
  <c r="G296" i="5"/>
  <c r="G295" i="5"/>
  <c r="G294" i="5"/>
  <c r="G293" i="5"/>
  <c r="G292" i="5"/>
  <c r="G291" i="5"/>
  <c r="G290" i="5"/>
  <c r="G289" i="5"/>
  <c r="G288" i="5"/>
  <c r="G287" i="5"/>
  <c r="G285" i="5"/>
  <c r="G282" i="5"/>
  <c r="G281" i="5"/>
  <c r="G279" i="5"/>
  <c r="G277" i="5"/>
  <c r="G278" i="5" s="1"/>
  <c r="G280" i="5" s="1"/>
  <c r="G276" i="5"/>
  <c r="G274" i="5"/>
  <c r="G272" i="5"/>
  <c r="G271" i="5"/>
  <c r="G270" i="5"/>
  <c r="G268" i="5"/>
  <c r="G266" i="5"/>
  <c r="G267" i="5" s="1"/>
  <c r="G269" i="5" s="1"/>
  <c r="G265" i="5"/>
  <c r="G263" i="5"/>
  <c r="G261" i="5"/>
  <c r="G260" i="5"/>
  <c r="G259" i="5"/>
  <c r="G258" i="5"/>
  <c r="G257" i="5"/>
  <c r="G256" i="5"/>
  <c r="G255" i="5"/>
  <c r="G253" i="5"/>
  <c r="G251" i="5"/>
  <c r="G252" i="5" s="1"/>
  <c r="G254" i="5" s="1"/>
  <c r="G250" i="5"/>
  <c r="G248" i="5"/>
  <c r="G246" i="5"/>
  <c r="G247" i="5" s="1"/>
  <c r="G249" i="5" s="1"/>
  <c r="G245" i="5"/>
  <c r="G243" i="5"/>
  <c r="G241" i="5"/>
  <c r="G242" i="5" s="1"/>
  <c r="G244" i="5" s="1"/>
  <c r="G240" i="5"/>
  <c r="G238" i="5"/>
  <c r="G236" i="5"/>
  <c r="G235" i="5"/>
  <c r="G234" i="5"/>
  <c r="G233" i="5"/>
  <c r="G232" i="5"/>
  <c r="G231" i="5"/>
  <c r="G230" i="5"/>
  <c r="G228" i="5"/>
  <c r="G226" i="5"/>
  <c r="G227" i="5" s="1"/>
  <c r="G229" i="5" s="1"/>
  <c r="G225" i="5"/>
  <c r="G223" i="5"/>
  <c r="G220" i="5"/>
  <c r="G218" i="5"/>
  <c r="G214" i="5"/>
  <c r="G212" i="5"/>
  <c r="G206" i="5"/>
  <c r="G204" i="5"/>
  <c r="G198" i="5"/>
  <c r="G196" i="5"/>
  <c r="G192" i="5"/>
  <c r="G190" i="5"/>
  <c r="G186" i="5"/>
  <c r="G184" i="5"/>
  <c r="G178" i="5"/>
  <c r="G176" i="5"/>
  <c r="G170" i="5"/>
  <c r="G168" i="5"/>
  <c r="G162" i="5"/>
  <c r="G160" i="5"/>
  <c r="G156" i="5"/>
  <c r="G154" i="5"/>
  <c r="G150" i="5"/>
  <c r="G148" i="5"/>
  <c r="G145" i="5"/>
  <c r="G143" i="5"/>
  <c r="G141" i="5"/>
  <c r="G140" i="5"/>
  <c r="G139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76" i="5"/>
  <c r="G74" i="5"/>
  <c r="G72" i="5"/>
  <c r="G71" i="5"/>
  <c r="G70" i="5"/>
  <c r="G67" i="5"/>
  <c r="G66" i="5"/>
  <c r="G65" i="5"/>
  <c r="G64" i="5"/>
  <c r="G63" i="5"/>
  <c r="G58" i="5"/>
  <c r="G56" i="5"/>
  <c r="G54" i="5"/>
  <c r="G55" i="5" s="1"/>
  <c r="G53" i="5"/>
  <c r="G50" i="5"/>
  <c r="G48" i="5"/>
  <c r="G46" i="5"/>
  <c r="G45" i="5"/>
  <c r="G44" i="5"/>
  <c r="G43" i="5"/>
  <c r="G42" i="5"/>
  <c r="G40" i="5"/>
  <c r="G39" i="5"/>
  <c r="G38" i="5"/>
  <c r="G37" i="5"/>
  <c r="G30" i="5"/>
  <c r="G28" i="5"/>
  <c r="G25" i="5"/>
  <c r="G23" i="5"/>
  <c r="G21" i="5"/>
  <c r="G20" i="5"/>
  <c r="G19" i="5"/>
  <c r="G18" i="5"/>
  <c r="G16" i="5"/>
  <c r="G15" i="5"/>
  <c r="G14" i="5"/>
  <c r="B973" i="5"/>
  <c r="B970" i="5"/>
  <c r="B965" i="5"/>
  <c r="L965" i="5" s="1"/>
  <c r="B962" i="5"/>
  <c r="B961" i="5"/>
  <c r="B958" i="5"/>
  <c r="B957" i="5"/>
  <c r="B952" i="5"/>
  <c r="B951" i="5"/>
  <c r="I951" i="5" s="1"/>
  <c r="O951" i="5" s="1"/>
  <c r="B950" i="5"/>
  <c r="B947" i="5"/>
  <c r="B945" i="5"/>
  <c r="B940" i="5"/>
  <c r="I940" i="5" s="1"/>
  <c r="B937" i="5"/>
  <c r="B936" i="5"/>
  <c r="B935" i="5"/>
  <c r="B930" i="5"/>
  <c r="B929" i="5"/>
  <c r="B926" i="5"/>
  <c r="B925" i="5"/>
  <c r="B924" i="5"/>
  <c r="B921" i="5"/>
  <c r="B920" i="5"/>
  <c r="B919" i="5"/>
  <c r="B918" i="5"/>
  <c r="B917" i="5"/>
  <c r="B916" i="5"/>
  <c r="B915" i="5"/>
  <c r="B914" i="5"/>
  <c r="B913" i="5"/>
  <c r="B908" i="5"/>
  <c r="L908" i="5" s="1"/>
  <c r="L909" i="5" s="1"/>
  <c r="L911" i="5" s="1"/>
  <c r="B903" i="5"/>
  <c r="B902" i="5"/>
  <c r="K902" i="5" s="1"/>
  <c r="B897" i="5"/>
  <c r="K897" i="5" s="1"/>
  <c r="N897" i="5" s="1"/>
  <c r="B896" i="5"/>
  <c r="K896" i="5" s="1"/>
  <c r="N896" i="5" s="1"/>
  <c r="B890" i="5"/>
  <c r="B889" i="5"/>
  <c r="L889" i="5" s="1"/>
  <c r="O889" i="5" s="1"/>
  <c r="B888" i="5"/>
  <c r="B887" i="5"/>
  <c r="K887" i="5" s="1"/>
  <c r="B886" i="5"/>
  <c r="L886" i="5" s="1"/>
  <c r="B881" i="5"/>
  <c r="K881" i="5" s="1"/>
  <c r="B876" i="5"/>
  <c r="B871" i="5"/>
  <c r="L871" i="5" s="1"/>
  <c r="O871" i="5" s="1"/>
  <c r="B870" i="5"/>
  <c r="L870" i="5" s="1"/>
  <c r="B865" i="5"/>
  <c r="B860" i="5"/>
  <c r="B854" i="5"/>
  <c r="B853" i="5"/>
  <c r="B852" i="5"/>
  <c r="L852" i="5" s="1"/>
  <c r="O852" i="5" s="1"/>
  <c r="B851" i="5"/>
  <c r="L851" i="5" s="1"/>
  <c r="O851" i="5" s="1"/>
  <c r="B850" i="5"/>
  <c r="K850" i="5" s="1"/>
  <c r="B849" i="5"/>
  <c r="L849" i="5" s="1"/>
  <c r="O849" i="5" s="1"/>
  <c r="B848" i="5"/>
  <c r="B847" i="5"/>
  <c r="B846" i="5"/>
  <c r="L846" i="5" s="1"/>
  <c r="B841" i="5"/>
  <c r="L841" i="5" s="1"/>
  <c r="B836" i="5"/>
  <c r="B835" i="5"/>
  <c r="L835" i="5" s="1"/>
  <c r="O835" i="5" s="1"/>
  <c r="B830" i="5"/>
  <c r="K830" i="5" s="1"/>
  <c r="B825" i="5"/>
  <c r="B824" i="5"/>
  <c r="K824" i="5" s="1"/>
  <c r="B823" i="5"/>
  <c r="B822" i="5"/>
  <c r="K822" i="5" s="1"/>
  <c r="N822" i="5" s="1"/>
  <c r="P822" i="5" s="1"/>
  <c r="B821" i="5"/>
  <c r="L821" i="5" s="1"/>
  <c r="O821" i="5" s="1"/>
  <c r="B820" i="5"/>
  <c r="B819" i="5"/>
  <c r="B814" i="5"/>
  <c r="H814" i="5" s="1"/>
  <c r="B809" i="5"/>
  <c r="B804" i="5"/>
  <c r="H804" i="5" s="1"/>
  <c r="B799" i="5"/>
  <c r="B794" i="5"/>
  <c r="H794" i="5" s="1"/>
  <c r="B789" i="5"/>
  <c r="B784" i="5"/>
  <c r="H784" i="5" s="1"/>
  <c r="B779" i="5"/>
  <c r="B774" i="5"/>
  <c r="B769" i="5"/>
  <c r="B768" i="5"/>
  <c r="B767" i="5"/>
  <c r="H767" i="5" s="1"/>
  <c r="J767" i="5" s="1"/>
  <c r="B766" i="5"/>
  <c r="H766" i="5" s="1"/>
  <c r="J766" i="5" s="1"/>
  <c r="B765" i="5"/>
  <c r="I765" i="5" s="1"/>
  <c r="O765" i="5" s="1"/>
  <c r="B764" i="5"/>
  <c r="B759" i="5"/>
  <c r="B754" i="5"/>
  <c r="B749" i="5"/>
  <c r="B744" i="5"/>
  <c r="H744" i="5" s="1"/>
  <c r="B739" i="5"/>
  <c r="B734" i="5"/>
  <c r="B729" i="5"/>
  <c r="B724" i="5"/>
  <c r="B719" i="5"/>
  <c r="I719" i="5" s="1"/>
  <c r="B714" i="5"/>
  <c r="B709" i="5"/>
  <c r="B704" i="5"/>
  <c r="H704" i="5" s="1"/>
  <c r="N704" i="5" s="1"/>
  <c r="B703" i="5"/>
  <c r="B702" i="5"/>
  <c r="I702" i="5" s="1"/>
  <c r="O702" i="5" s="1"/>
  <c r="B701" i="5"/>
  <c r="H701" i="5" s="1"/>
  <c r="N701" i="5" s="1"/>
  <c r="B696" i="5"/>
  <c r="B691" i="5"/>
  <c r="B686" i="5"/>
  <c r="H686" i="5" s="1"/>
  <c r="B681" i="5"/>
  <c r="B680" i="5"/>
  <c r="B675" i="5"/>
  <c r="B674" i="5"/>
  <c r="B673" i="5"/>
  <c r="B668" i="5"/>
  <c r="B663" i="5"/>
  <c r="B662" i="5"/>
  <c r="B661" i="5"/>
  <c r="B656" i="5"/>
  <c r="B651" i="5"/>
  <c r="B650" i="5"/>
  <c r="B645" i="5"/>
  <c r="B644" i="5"/>
  <c r="B642" i="5"/>
  <c r="B636" i="5"/>
  <c r="B631" i="5"/>
  <c r="B629" i="5"/>
  <c r="B628" i="5"/>
  <c r="B627" i="5"/>
  <c r="B626" i="5"/>
  <c r="B625" i="5"/>
  <c r="B620" i="5"/>
  <c r="B615" i="5"/>
  <c r="B614" i="5"/>
  <c r="B609" i="5"/>
  <c r="B608" i="5"/>
  <c r="B607" i="5"/>
  <c r="B606" i="5"/>
  <c r="B605" i="5"/>
  <c r="B604" i="5"/>
  <c r="B603" i="5"/>
  <c r="B598" i="5"/>
  <c r="B597" i="5"/>
  <c r="B596" i="5"/>
  <c r="B595" i="5"/>
  <c r="B594" i="5"/>
  <c r="B593" i="5"/>
  <c r="B592" i="5"/>
  <c r="B591" i="5"/>
  <c r="B590" i="5"/>
  <c r="B584" i="5"/>
  <c r="B583" i="5"/>
  <c r="B582" i="5"/>
  <c r="B581" i="5"/>
  <c r="B572" i="5"/>
  <c r="B567" i="5"/>
  <c r="B566" i="5"/>
  <c r="B561" i="5"/>
  <c r="B556" i="5"/>
  <c r="B551" i="5"/>
  <c r="B546" i="5"/>
  <c r="B545" i="5"/>
  <c r="B544" i="5"/>
  <c r="B543" i="5"/>
  <c r="B542" i="5"/>
  <c r="B541" i="5"/>
  <c r="B540" i="5"/>
  <c r="B539" i="5"/>
  <c r="B538" i="5"/>
  <c r="B537" i="5"/>
  <c r="B536" i="5"/>
  <c r="B531" i="5"/>
  <c r="B526" i="5"/>
  <c r="B521" i="5"/>
  <c r="B520" i="5"/>
  <c r="B519" i="5"/>
  <c r="B514" i="5"/>
  <c r="B509" i="5"/>
  <c r="B504" i="5"/>
  <c r="B499" i="5"/>
  <c r="B498" i="5"/>
  <c r="B497" i="5"/>
  <c r="B492" i="5"/>
  <c r="B491" i="5"/>
  <c r="B490" i="5"/>
  <c r="B485" i="5"/>
  <c r="B480" i="5"/>
  <c r="B479" i="5"/>
  <c r="B478" i="5"/>
  <c r="B477" i="5"/>
  <c r="B472" i="5"/>
  <c r="B471" i="5"/>
  <c r="B470" i="5"/>
  <c r="B469" i="5"/>
  <c r="B464" i="5"/>
  <c r="B463" i="5"/>
  <c r="B458" i="5"/>
  <c r="B453" i="5"/>
  <c r="B448" i="5"/>
  <c r="B443" i="5"/>
  <c r="B438" i="5"/>
  <c r="B433" i="5"/>
  <c r="B428" i="5"/>
  <c r="B423" i="5"/>
  <c r="B422" i="5"/>
  <c r="B421" i="5"/>
  <c r="B420" i="5"/>
  <c r="B419" i="5"/>
  <c r="B418" i="5"/>
  <c r="B413" i="5"/>
  <c r="B408" i="5"/>
  <c r="B407" i="5"/>
  <c r="B402" i="5"/>
  <c r="B397" i="5"/>
  <c r="B396" i="5"/>
  <c r="B391" i="5"/>
  <c r="B390" i="5"/>
  <c r="B385" i="5"/>
  <c r="B384" i="5"/>
  <c r="B379" i="5"/>
  <c r="B374" i="5"/>
  <c r="B369" i="5"/>
  <c r="B368" i="5"/>
  <c r="B367" i="5"/>
  <c r="B362" i="5"/>
  <c r="B354" i="5"/>
  <c r="B353" i="5"/>
  <c r="B352" i="5"/>
  <c r="B351" i="5"/>
  <c r="B350" i="5"/>
  <c r="B349" i="5"/>
  <c r="B348" i="5"/>
  <c r="B347" i="5"/>
  <c r="B346" i="5"/>
  <c r="B341" i="5"/>
  <c r="K341" i="5" s="1"/>
  <c r="B335" i="5"/>
  <c r="B334" i="5"/>
  <c r="K334" i="5" s="1"/>
  <c r="B324" i="5"/>
  <c r="B319" i="5"/>
  <c r="L319" i="5" s="1"/>
  <c r="B314" i="5"/>
  <c r="K314" i="5" s="1"/>
  <c r="K315" i="5" s="1"/>
  <c r="K317" i="5" s="1"/>
  <c r="B309" i="5"/>
  <c r="K309" i="5" s="1"/>
  <c r="B302" i="5"/>
  <c r="K302" i="5" s="1"/>
  <c r="K305" i="5" s="1"/>
  <c r="B296" i="5"/>
  <c r="B295" i="5"/>
  <c r="K295" i="5" s="1"/>
  <c r="N295" i="5" s="1"/>
  <c r="B294" i="5"/>
  <c r="L294" i="5" s="1"/>
  <c r="O294" i="5" s="1"/>
  <c r="B293" i="5"/>
  <c r="L293" i="5" s="1"/>
  <c r="O293" i="5" s="1"/>
  <c r="B292" i="5"/>
  <c r="L292" i="5" s="1"/>
  <c r="O292" i="5" s="1"/>
  <c r="B291" i="5"/>
  <c r="K291" i="5" s="1"/>
  <c r="N291" i="5" s="1"/>
  <c r="B290" i="5"/>
  <c r="K290" i="5" s="1"/>
  <c r="N290" i="5" s="1"/>
  <c r="B289" i="5"/>
  <c r="K289" i="5" s="1"/>
  <c r="N289" i="5" s="1"/>
  <c r="B288" i="5"/>
  <c r="B277" i="5"/>
  <c r="B272" i="5"/>
  <c r="B271" i="5"/>
  <c r="B266" i="5"/>
  <c r="I266" i="5" s="1"/>
  <c r="B261" i="5"/>
  <c r="B260" i="5"/>
  <c r="H260" i="5" s="1"/>
  <c r="B259" i="5"/>
  <c r="B258" i="5"/>
  <c r="B257" i="5"/>
  <c r="B256" i="5"/>
  <c r="B251" i="5"/>
  <c r="B246" i="5"/>
  <c r="I246" i="5" s="1"/>
  <c r="B241" i="5"/>
  <c r="B236" i="5"/>
  <c r="B235" i="5"/>
  <c r="I235" i="5" s="1"/>
  <c r="B234" i="5"/>
  <c r="B233" i="5"/>
  <c r="B232" i="5"/>
  <c r="B231" i="5"/>
  <c r="B226" i="5"/>
  <c r="I226" i="5" s="1"/>
  <c r="B221" i="5"/>
  <c r="B216" i="5"/>
  <c r="B215" i="5"/>
  <c r="B209" i="5"/>
  <c r="B208" i="5"/>
  <c r="B207" i="5"/>
  <c r="B202" i="5"/>
  <c r="B201" i="5"/>
  <c r="B200" i="5"/>
  <c r="B199" i="5"/>
  <c r="B194" i="5"/>
  <c r="B193" i="5"/>
  <c r="B188" i="5"/>
  <c r="B187" i="5"/>
  <c r="B182" i="5"/>
  <c r="B181" i="5"/>
  <c r="B179" i="5"/>
  <c r="B174" i="5"/>
  <c r="B173" i="5"/>
  <c r="B172" i="5"/>
  <c r="B171" i="5"/>
  <c r="B166" i="5"/>
  <c r="B165" i="5"/>
  <c r="B164" i="5"/>
  <c r="B163" i="5"/>
  <c r="B158" i="5"/>
  <c r="B157" i="5"/>
  <c r="B152" i="5"/>
  <c r="B151" i="5"/>
  <c r="B146" i="5"/>
  <c r="B141" i="5"/>
  <c r="B140" i="5"/>
  <c r="L140" i="5" s="1"/>
  <c r="B137" i="5"/>
  <c r="B136" i="5"/>
  <c r="I136" i="5" s="1"/>
  <c r="O136" i="5" s="1"/>
  <c r="B135" i="5"/>
  <c r="I135" i="5" s="1"/>
  <c r="O135" i="5" s="1"/>
  <c r="B134" i="5"/>
  <c r="B133" i="5"/>
  <c r="B132" i="5"/>
  <c r="H132" i="5" s="1"/>
  <c r="N132" i="5" s="1"/>
  <c r="P132" i="5" s="1"/>
  <c r="B131" i="5"/>
  <c r="B130" i="5"/>
  <c r="B129" i="5"/>
  <c r="B128" i="5"/>
  <c r="B127" i="5"/>
  <c r="B126" i="5"/>
  <c r="B125" i="5"/>
  <c r="B124" i="5"/>
  <c r="B123" i="5"/>
  <c r="B122" i="5"/>
  <c r="B121" i="5"/>
  <c r="B120" i="5"/>
  <c r="H120" i="5" s="1"/>
  <c r="N120" i="5" s="1"/>
  <c r="P120" i="5" s="1"/>
  <c r="B119" i="5"/>
  <c r="H119" i="5" s="1"/>
  <c r="B118" i="5"/>
  <c r="I118" i="5" s="1"/>
  <c r="O118" i="5" s="1"/>
  <c r="B117" i="5"/>
  <c r="B116" i="5"/>
  <c r="B115" i="5"/>
  <c r="B114" i="5"/>
  <c r="H114" i="5" s="1"/>
  <c r="N114" i="5" s="1"/>
  <c r="B113" i="5"/>
  <c r="B112" i="5"/>
  <c r="H112" i="5" s="1"/>
  <c r="N112" i="5" s="1"/>
  <c r="P112" i="5" s="1"/>
  <c r="B111" i="5"/>
  <c r="B110" i="5"/>
  <c r="B109" i="5"/>
  <c r="B108" i="5"/>
  <c r="B107" i="5"/>
  <c r="I107" i="5" s="1"/>
  <c r="O107" i="5" s="1"/>
  <c r="B106" i="5"/>
  <c r="B105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2" i="5"/>
  <c r="L72" i="5" s="1"/>
  <c r="O72" i="5" s="1"/>
  <c r="B71" i="5"/>
  <c r="K71" i="5" s="1"/>
  <c r="B68" i="5"/>
  <c r="B67" i="5"/>
  <c r="B66" i="5"/>
  <c r="B65" i="5"/>
  <c r="H65" i="5" s="1"/>
  <c r="N65" i="5" s="1"/>
  <c r="B64" i="5"/>
  <c r="I64" i="5" s="1"/>
  <c r="B61" i="5"/>
  <c r="B60" i="5"/>
  <c r="B59" i="5"/>
  <c r="B54" i="5"/>
  <c r="B51" i="5"/>
  <c r="B46" i="5"/>
  <c r="K46" i="5" s="1"/>
  <c r="N46" i="5" s="1"/>
  <c r="B45" i="5"/>
  <c r="L45" i="5" s="1"/>
  <c r="O45" i="5" s="1"/>
  <c r="B44" i="5"/>
  <c r="B43" i="5"/>
  <c r="B40" i="5"/>
  <c r="I40" i="5" s="1"/>
  <c r="O40" i="5" s="1"/>
  <c r="B39" i="5"/>
  <c r="B38" i="5"/>
  <c r="B35" i="5"/>
  <c r="B34" i="5"/>
  <c r="B33" i="5"/>
  <c r="B32" i="5"/>
  <c r="B31" i="5"/>
  <c r="B26" i="5"/>
  <c r="B21" i="5"/>
  <c r="K21" i="5" s="1"/>
  <c r="B20" i="5"/>
  <c r="L20" i="5" s="1"/>
  <c r="O20" i="5" s="1"/>
  <c r="B16" i="5"/>
  <c r="B15" i="5"/>
  <c r="B12" i="5"/>
  <c r="B11" i="5"/>
  <c r="B10" i="5"/>
  <c r="B9" i="5"/>
  <c r="M632" i="5" l="1"/>
  <c r="J632" i="5"/>
  <c r="D29" i="17"/>
  <c r="D23" i="17"/>
  <c r="D28" i="16"/>
  <c r="D28" i="15"/>
  <c r="D72" i="12"/>
  <c r="D53" i="12"/>
  <c r="D28" i="12"/>
  <c r="D27" i="16"/>
  <c r="D19" i="15"/>
  <c r="D71" i="12"/>
  <c r="D62" i="12"/>
  <c r="D39" i="12"/>
  <c r="D27" i="12"/>
  <c r="D12" i="12"/>
  <c r="D33" i="17"/>
  <c r="D27" i="17"/>
  <c r="D21" i="17"/>
  <c r="D26" i="16"/>
  <c r="D18" i="16"/>
  <c r="D24" i="15"/>
  <c r="D16" i="15"/>
  <c r="D77" i="12"/>
  <c r="D70" i="12"/>
  <c r="D55" i="13" s="1"/>
  <c r="F76" i="12"/>
  <c r="D61" i="12"/>
  <c r="D51" i="12"/>
  <c r="D38" i="12"/>
  <c r="D32" i="12"/>
  <c r="D26" i="12"/>
  <c r="D17" i="12"/>
  <c r="D11" i="12"/>
  <c r="D32" i="17"/>
  <c r="D26" i="17"/>
  <c r="D20" i="17"/>
  <c r="D56" i="13" s="1"/>
  <c r="D25" i="16"/>
  <c r="D17" i="16"/>
  <c r="D23" i="15"/>
  <c r="D15" i="15"/>
  <c r="D76" i="12"/>
  <c r="F70" i="12"/>
  <c r="F55" i="13" s="1"/>
  <c r="D66" i="12"/>
  <c r="D60" i="12"/>
  <c r="D53" i="13" s="1"/>
  <c r="D50" i="12"/>
  <c r="D37" i="12"/>
  <c r="D31" i="12"/>
  <c r="D25" i="12"/>
  <c r="D16" i="12"/>
  <c r="D10" i="12"/>
  <c r="D25" i="17"/>
  <c r="D24" i="16"/>
  <c r="D23" i="18"/>
  <c r="D22" i="15"/>
  <c r="D14" i="15"/>
  <c r="D75" i="12"/>
  <c r="F71" i="12"/>
  <c r="D65" i="12"/>
  <c r="D55" i="12"/>
  <c r="D49" i="12"/>
  <c r="D36" i="12"/>
  <c r="D30" i="12"/>
  <c r="D24" i="12"/>
  <c r="D52" i="13" s="1"/>
  <c r="D15" i="12"/>
  <c r="D9" i="12"/>
  <c r="D51" i="13" s="1"/>
  <c r="D30" i="17"/>
  <c r="D24" i="17"/>
  <c r="D35" i="16"/>
  <c r="D23" i="16"/>
  <c r="D31" i="15"/>
  <c r="D21" i="15"/>
  <c r="D45" i="12"/>
  <c r="D24" i="13" s="1"/>
  <c r="D74" i="12"/>
  <c r="F72" i="12"/>
  <c r="D64" i="12"/>
  <c r="D54" i="12"/>
  <c r="D35" i="12"/>
  <c r="D29" i="12"/>
  <c r="D23" i="12"/>
  <c r="D14" i="12"/>
  <c r="D63" i="12"/>
  <c r="D34" i="12"/>
  <c r="D13" i="12"/>
  <c r="D22" i="17"/>
  <c r="D27" i="15"/>
  <c r="D42" i="15" s="1"/>
  <c r="D31" i="17"/>
  <c r="G66" i="12"/>
  <c r="D20" i="16"/>
  <c r="D20" i="15"/>
  <c r="F45" i="12"/>
  <c r="F24" i="13" s="1"/>
  <c r="F74" i="12"/>
  <c r="D40" i="12"/>
  <c r="D19" i="12"/>
  <c r="F66" i="12"/>
  <c r="D28" i="17"/>
  <c r="D19" i="16"/>
  <c r="F77" i="12"/>
  <c r="F75" i="12"/>
  <c r="D52" i="12"/>
  <c r="D33" i="12"/>
  <c r="D18" i="12"/>
  <c r="D16" i="17"/>
  <c r="D10" i="17"/>
  <c r="D9" i="16"/>
  <c r="D25" i="14"/>
  <c r="D14" i="14"/>
  <c r="D13" i="13" s="1"/>
  <c r="D15" i="17"/>
  <c r="D9" i="17"/>
  <c r="D10" i="15"/>
  <c r="D24" i="14"/>
  <c r="D13" i="14"/>
  <c r="D12" i="13" s="1"/>
  <c r="D12" i="17"/>
  <c r="D16" i="14"/>
  <c r="D15" i="13" s="1"/>
  <c r="D11" i="17"/>
  <c r="D15" i="14"/>
  <c r="D14" i="13" s="1"/>
  <c r="D14" i="17"/>
  <c r="D13" i="16"/>
  <c r="D9" i="15"/>
  <c r="D23" i="14"/>
  <c r="D11" i="14"/>
  <c r="D10" i="13" s="1"/>
  <c r="D11" i="16"/>
  <c r="D9" i="14"/>
  <c r="D27" i="14"/>
  <c r="D34" i="13" s="1"/>
  <c r="D13" i="17"/>
  <c r="D12" i="16"/>
  <c r="D8" i="15"/>
  <c r="D17" i="14"/>
  <c r="D16" i="13" s="1"/>
  <c r="D10" i="14"/>
  <c r="D9" i="13" s="1"/>
  <c r="D10" i="16"/>
  <c r="D28" i="14"/>
  <c r="D35" i="13" s="1"/>
  <c r="D12" i="14"/>
  <c r="D11" i="13" s="1"/>
  <c r="F30" i="17"/>
  <c r="F32" i="16"/>
  <c r="F11" i="16"/>
  <c r="F14" i="15"/>
  <c r="F51" i="12"/>
  <c r="F31" i="16"/>
  <c r="F31" i="15"/>
  <c r="F10" i="15"/>
  <c r="F50" i="12"/>
  <c r="F25" i="16"/>
  <c r="F24" i="16"/>
  <c r="F22" i="17"/>
  <c r="F19" i="16"/>
  <c r="F18" i="16"/>
  <c r="F35" i="16"/>
  <c r="F52" i="12"/>
  <c r="F29" i="17"/>
  <c r="F28" i="17"/>
  <c r="F28" i="16"/>
  <c r="F28" i="15"/>
  <c r="F25" i="14"/>
  <c r="F65" i="12"/>
  <c r="F49" i="12"/>
  <c r="F25" i="17"/>
  <c r="F62" i="12"/>
  <c r="F24" i="17"/>
  <c r="F20" i="15"/>
  <c r="F54" i="12"/>
  <c r="F16" i="15"/>
  <c r="F27" i="17"/>
  <c r="F27" i="16"/>
  <c r="F27" i="15"/>
  <c r="F24" i="14"/>
  <c r="F64" i="12"/>
  <c r="F16" i="12"/>
  <c r="F23" i="15"/>
  <c r="F61" i="12"/>
  <c r="F55" i="12"/>
  <c r="F33" i="17"/>
  <c r="F19" i="15"/>
  <c r="F32" i="17"/>
  <c r="F17" i="16"/>
  <c r="F26" i="17"/>
  <c r="F26" i="16"/>
  <c r="F24" i="15"/>
  <c r="F23" i="14"/>
  <c r="F63" i="12"/>
  <c r="F9" i="12"/>
  <c r="F51" i="13" s="1"/>
  <c r="F10" i="14"/>
  <c r="F9" i="13" s="1"/>
  <c r="F22" i="15"/>
  <c r="F23" i="17"/>
  <c r="F23" i="16"/>
  <c r="F21" i="15"/>
  <c r="F60" i="12"/>
  <c r="F53" i="13" s="1"/>
  <c r="F20" i="16"/>
  <c r="F21" i="17"/>
  <c r="F20" i="17"/>
  <c r="F56" i="13" s="1"/>
  <c r="F53" i="12"/>
  <c r="F31" i="17"/>
  <c r="F15" i="15"/>
  <c r="F15" i="17"/>
  <c r="F11" i="17"/>
  <c r="F14" i="14"/>
  <c r="F13" i="13" s="1"/>
  <c r="F16" i="17"/>
  <c r="F24" i="12"/>
  <c r="F52" i="13" s="1"/>
  <c r="F25" i="12"/>
  <c r="F10" i="16"/>
  <c r="F38" i="12"/>
  <c r="F33" i="12"/>
  <c r="F40" i="16"/>
  <c r="F36" i="15"/>
  <c r="F23" i="18" s="1"/>
  <c r="F12" i="12"/>
  <c r="F37" i="12"/>
  <c r="F10" i="17"/>
  <c r="F9" i="16"/>
  <c r="F19" i="12"/>
  <c r="F36" i="12"/>
  <c r="F16" i="14"/>
  <c r="F15" i="13" s="1"/>
  <c r="F28" i="14"/>
  <c r="F35" i="13" s="1"/>
  <c r="F26" i="12"/>
  <c r="F11" i="14"/>
  <c r="F10" i="13" s="1"/>
  <c r="F13" i="17"/>
  <c r="F29" i="12"/>
  <c r="F9" i="15"/>
  <c r="F17" i="12"/>
  <c r="F17" i="14"/>
  <c r="F16" i="13" s="1"/>
  <c r="F27" i="14"/>
  <c r="F34" i="13" s="1"/>
  <c r="F13" i="16"/>
  <c r="F14" i="17"/>
  <c r="F30" i="12"/>
  <c r="F23" i="12"/>
  <c r="F34" i="12"/>
  <c r="F9" i="17"/>
  <c r="F41" i="12"/>
  <c r="F15" i="12"/>
  <c r="F17" i="17"/>
  <c r="F14" i="12"/>
  <c r="F13" i="12"/>
  <c r="F27" i="12"/>
  <c r="F15" i="14"/>
  <c r="F14" i="13" s="1"/>
  <c r="F18" i="12"/>
  <c r="F10" i="12"/>
  <c r="F8" i="15"/>
  <c r="F28" i="12"/>
  <c r="F12" i="17"/>
  <c r="F39" i="12"/>
  <c r="F32" i="12"/>
  <c r="F35" i="12"/>
  <c r="F11" i="12"/>
  <c r="F12" i="14"/>
  <c r="F11" i="13" s="1"/>
  <c r="F9" i="14"/>
  <c r="F40" i="12"/>
  <c r="F31" i="12"/>
  <c r="F13" i="14"/>
  <c r="F12" i="13" s="1"/>
  <c r="F12" i="16"/>
  <c r="F662" i="5"/>
  <c r="O662" i="5" s="1"/>
  <c r="E662" i="5"/>
  <c r="F99" i="5"/>
  <c r="E99" i="5"/>
  <c r="N99" i="5" s="1"/>
  <c r="F201" i="5"/>
  <c r="E201" i="5"/>
  <c r="N201" i="5" s="1"/>
  <c r="F348" i="5"/>
  <c r="O348" i="5" s="1"/>
  <c r="E348" i="5"/>
  <c r="N348" i="5" s="1"/>
  <c r="P348" i="5" s="1"/>
  <c r="F419" i="5"/>
  <c r="O419" i="5" s="1"/>
  <c r="E419" i="5"/>
  <c r="F491" i="5"/>
  <c r="O491" i="5" s="1"/>
  <c r="E491" i="5"/>
  <c r="F531" i="5"/>
  <c r="E531" i="5"/>
  <c r="F551" i="5"/>
  <c r="E551" i="5"/>
  <c r="N551" i="5" s="1"/>
  <c r="F608" i="5"/>
  <c r="O608" i="5" s="1"/>
  <c r="E608" i="5"/>
  <c r="F642" i="5"/>
  <c r="E642" i="5"/>
  <c r="F675" i="5"/>
  <c r="O675" i="5" s="1"/>
  <c r="E675" i="5"/>
  <c r="F958" i="5"/>
  <c r="O958" i="5" s="1"/>
  <c r="E958" i="5"/>
  <c r="G958" i="5" s="1"/>
  <c r="F31" i="5"/>
  <c r="E31" i="5"/>
  <c r="F51" i="5"/>
  <c r="O51" i="5" s="1"/>
  <c r="O52" i="5" s="1"/>
  <c r="E51" i="5"/>
  <c r="N51" i="5" s="1"/>
  <c r="F77" i="5"/>
  <c r="E77" i="5"/>
  <c r="F89" i="5"/>
  <c r="O89" i="5" s="1"/>
  <c r="E89" i="5"/>
  <c r="F101" i="5"/>
  <c r="O101" i="5" s="1"/>
  <c r="E101" i="5"/>
  <c r="E173" i="5"/>
  <c r="F173" i="5"/>
  <c r="O173" i="5" s="1"/>
  <c r="E202" i="5"/>
  <c r="F202" i="5"/>
  <c r="O202" i="5" s="1"/>
  <c r="F349" i="5"/>
  <c r="O349" i="5" s="1"/>
  <c r="E349" i="5"/>
  <c r="N349" i="5" s="1"/>
  <c r="P349" i="5" s="1"/>
  <c r="F384" i="5"/>
  <c r="E384" i="5"/>
  <c r="G384" i="5" s="1"/>
  <c r="F420" i="5"/>
  <c r="O420" i="5" s="1"/>
  <c r="E420" i="5"/>
  <c r="N420" i="5" s="1"/>
  <c r="P420" i="5" s="1"/>
  <c r="F464" i="5"/>
  <c r="O464" i="5" s="1"/>
  <c r="E464" i="5"/>
  <c r="N464" i="5" s="1"/>
  <c r="P464" i="5" s="1"/>
  <c r="F492" i="5"/>
  <c r="O492" i="5" s="1"/>
  <c r="E492" i="5"/>
  <c r="F536" i="5"/>
  <c r="E536" i="5"/>
  <c r="F556" i="5"/>
  <c r="E556" i="5"/>
  <c r="N556" i="5" s="1"/>
  <c r="F593" i="5"/>
  <c r="O593" i="5" s="1"/>
  <c r="E593" i="5"/>
  <c r="G593" i="5" s="1"/>
  <c r="F609" i="5"/>
  <c r="O609" i="5" s="1"/>
  <c r="E609" i="5"/>
  <c r="E644" i="5"/>
  <c r="F644" i="5"/>
  <c r="O644" i="5" s="1"/>
  <c r="E680" i="5"/>
  <c r="F680" i="5"/>
  <c r="F914" i="5"/>
  <c r="O914" i="5" s="1"/>
  <c r="E914" i="5"/>
  <c r="F80" i="5"/>
  <c r="O80" i="5" s="1"/>
  <c r="E80" i="5"/>
  <c r="F152" i="5"/>
  <c r="O152" i="5" s="1"/>
  <c r="E152" i="5"/>
  <c r="N152" i="5" s="1"/>
  <c r="F391" i="5"/>
  <c r="O391" i="5" s="1"/>
  <c r="E391" i="5"/>
  <c r="G391" i="5" s="1"/>
  <c r="F567" i="5"/>
  <c r="O567" i="5" s="1"/>
  <c r="E567" i="5"/>
  <c r="G567" i="5" s="1"/>
  <c r="E970" i="5"/>
  <c r="F970" i="5"/>
  <c r="F971" i="5" s="1"/>
  <c r="F976" i="5" s="1"/>
  <c r="E182" i="5"/>
  <c r="N182" i="5" s="1"/>
  <c r="F182" i="5"/>
  <c r="O182" i="5" s="1"/>
  <c r="E396" i="5"/>
  <c r="G396" i="5" s="1"/>
  <c r="F396" i="5"/>
  <c r="E504" i="5"/>
  <c r="E505" i="5" s="1"/>
  <c r="E507" i="5" s="1"/>
  <c r="F504" i="5"/>
  <c r="E572" i="5"/>
  <c r="N572" i="5" s="1"/>
  <c r="F572" i="5"/>
  <c r="F625" i="5"/>
  <c r="E625" i="5"/>
  <c r="F656" i="5"/>
  <c r="E656" i="5"/>
  <c r="F918" i="5"/>
  <c r="O918" i="5" s="1"/>
  <c r="E918" i="5"/>
  <c r="N918" i="5" s="1"/>
  <c r="E94" i="5"/>
  <c r="F94" i="5"/>
  <c r="O94" i="5" s="1"/>
  <c r="F158" i="5"/>
  <c r="O158" i="5" s="1"/>
  <c r="E158" i="5"/>
  <c r="F509" i="5"/>
  <c r="E509" i="5"/>
  <c r="F626" i="5"/>
  <c r="O626" i="5" s="1"/>
  <c r="E626" i="5"/>
  <c r="N626" i="5" s="1"/>
  <c r="E945" i="5"/>
  <c r="F945" i="5"/>
  <c r="J358" i="5"/>
  <c r="F221" i="5"/>
  <c r="E221" i="5"/>
  <c r="F542" i="5"/>
  <c r="O542" i="5" s="1"/>
  <c r="E542" i="5"/>
  <c r="G542" i="5" s="1"/>
  <c r="F32" i="5"/>
  <c r="O32" i="5" s="1"/>
  <c r="E32" i="5"/>
  <c r="E78" i="5"/>
  <c r="F78" i="5"/>
  <c r="O78" i="5" s="1"/>
  <c r="E90" i="5"/>
  <c r="F90" i="5"/>
  <c r="O90" i="5" s="1"/>
  <c r="F102" i="5"/>
  <c r="O102" i="5" s="1"/>
  <c r="E102" i="5"/>
  <c r="N102" i="5" s="1"/>
  <c r="F146" i="5"/>
  <c r="E146" i="5"/>
  <c r="E147" i="5" s="1"/>
  <c r="E149" i="5" s="1"/>
  <c r="F174" i="5"/>
  <c r="O174" i="5" s="1"/>
  <c r="E174" i="5"/>
  <c r="N174" i="5" s="1"/>
  <c r="F207" i="5"/>
  <c r="E207" i="5"/>
  <c r="N207" i="5" s="1"/>
  <c r="F350" i="5"/>
  <c r="O350" i="5" s="1"/>
  <c r="E350" i="5"/>
  <c r="F385" i="5"/>
  <c r="O385" i="5" s="1"/>
  <c r="E385" i="5"/>
  <c r="N385" i="5" s="1"/>
  <c r="P385" i="5" s="1"/>
  <c r="F421" i="5"/>
  <c r="O421" i="5" s="1"/>
  <c r="E421" i="5"/>
  <c r="F469" i="5"/>
  <c r="E469" i="5"/>
  <c r="G469" i="5" s="1"/>
  <c r="F497" i="5"/>
  <c r="E497" i="5"/>
  <c r="F537" i="5"/>
  <c r="O537" i="5" s="1"/>
  <c r="E537" i="5"/>
  <c r="N537" i="5" s="1"/>
  <c r="P537" i="5" s="1"/>
  <c r="F561" i="5"/>
  <c r="O561" i="5" s="1"/>
  <c r="O562" i="5" s="1"/>
  <c r="O564" i="5" s="1"/>
  <c r="E561" i="5"/>
  <c r="E594" i="5"/>
  <c r="F594" i="5"/>
  <c r="O594" i="5" s="1"/>
  <c r="E614" i="5"/>
  <c r="F614" i="5"/>
  <c r="F645" i="5"/>
  <c r="O645" i="5" s="1"/>
  <c r="E645" i="5"/>
  <c r="N645" i="5" s="1"/>
  <c r="F681" i="5"/>
  <c r="O681" i="5" s="1"/>
  <c r="E681" i="5"/>
  <c r="G681" i="5" s="1"/>
  <c r="F915" i="5"/>
  <c r="O915" i="5" s="1"/>
  <c r="E915" i="5"/>
  <c r="F935" i="5"/>
  <c r="E935" i="5"/>
  <c r="M358" i="5"/>
  <c r="M360" i="5" s="1"/>
  <c r="E33" i="5"/>
  <c r="F33" i="5"/>
  <c r="O33" i="5" s="1"/>
  <c r="F59" i="5"/>
  <c r="E59" i="5"/>
  <c r="G59" i="5" s="1"/>
  <c r="F79" i="5"/>
  <c r="O79" i="5" s="1"/>
  <c r="E79" i="5"/>
  <c r="F91" i="5"/>
  <c r="O91" i="5" s="1"/>
  <c r="E91" i="5"/>
  <c r="F151" i="5"/>
  <c r="E151" i="5"/>
  <c r="F179" i="5"/>
  <c r="E179" i="5"/>
  <c r="F208" i="5"/>
  <c r="O208" i="5" s="1"/>
  <c r="E208" i="5"/>
  <c r="F351" i="5"/>
  <c r="O351" i="5" s="1"/>
  <c r="E351" i="5"/>
  <c r="E390" i="5"/>
  <c r="F390" i="5"/>
  <c r="E422" i="5"/>
  <c r="F422" i="5"/>
  <c r="O422" i="5" s="1"/>
  <c r="E470" i="5"/>
  <c r="F470" i="5"/>
  <c r="O470" i="5" s="1"/>
  <c r="E498" i="5"/>
  <c r="G498" i="5" s="1"/>
  <c r="F498" i="5"/>
  <c r="O498" i="5" s="1"/>
  <c r="E538" i="5"/>
  <c r="N538" i="5" s="1"/>
  <c r="P538" i="5" s="1"/>
  <c r="F538" i="5"/>
  <c r="O538" i="5" s="1"/>
  <c r="E566" i="5"/>
  <c r="F566" i="5"/>
  <c r="F595" i="5"/>
  <c r="O595" i="5" s="1"/>
  <c r="E595" i="5"/>
  <c r="F615" i="5"/>
  <c r="O615" i="5" s="1"/>
  <c r="E615" i="5"/>
  <c r="N615" i="5" s="1"/>
  <c r="E650" i="5"/>
  <c r="F650" i="5"/>
  <c r="F916" i="5"/>
  <c r="O916" i="5" s="1"/>
  <c r="E916" i="5"/>
  <c r="E936" i="5"/>
  <c r="F936" i="5"/>
  <c r="O936" i="5" s="1"/>
  <c r="F209" i="5"/>
  <c r="O209" i="5" s="1"/>
  <c r="E209" i="5"/>
  <c r="N209" i="5" s="1"/>
  <c r="F471" i="5"/>
  <c r="O471" i="5" s="1"/>
  <c r="E471" i="5"/>
  <c r="F651" i="5"/>
  <c r="O651" i="5" s="1"/>
  <c r="E651" i="5"/>
  <c r="E917" i="5"/>
  <c r="F917" i="5"/>
  <c r="O917" i="5" s="1"/>
  <c r="F353" i="5"/>
  <c r="O353" i="5" s="1"/>
  <c r="E353" i="5"/>
  <c r="N353" i="5" s="1"/>
  <c r="F216" i="5"/>
  <c r="O216" i="5" s="1"/>
  <c r="E216" i="5"/>
  <c r="N216" i="5" s="1"/>
  <c r="F397" i="5"/>
  <c r="O397" i="5" s="1"/>
  <c r="E397" i="5"/>
  <c r="G397" i="5" s="1"/>
  <c r="F581" i="5"/>
  <c r="E581" i="5"/>
  <c r="E919" i="5"/>
  <c r="F919" i="5"/>
  <c r="O919" i="5" s="1"/>
  <c r="E596" i="5"/>
  <c r="F596" i="5"/>
  <c r="O596" i="5" s="1"/>
  <c r="F937" i="5"/>
  <c r="O937" i="5" s="1"/>
  <c r="E937" i="5"/>
  <c r="F81" i="5"/>
  <c r="O81" i="5" s="1"/>
  <c r="E81" i="5"/>
  <c r="F215" i="5"/>
  <c r="O215" i="5" s="1"/>
  <c r="E215" i="5"/>
  <c r="F11" i="5"/>
  <c r="O11" i="5" s="1"/>
  <c r="E11" i="5"/>
  <c r="E82" i="5"/>
  <c r="F82" i="5"/>
  <c r="O82" i="5" s="1"/>
  <c r="F187" i="5"/>
  <c r="E187" i="5"/>
  <c r="E354" i="5"/>
  <c r="N354" i="5" s="1"/>
  <c r="F354" i="5"/>
  <c r="O354" i="5" s="1"/>
  <c r="F541" i="5"/>
  <c r="O541" i="5" s="1"/>
  <c r="E541" i="5"/>
  <c r="G541" i="5" s="1"/>
  <c r="F83" i="5"/>
  <c r="O83" i="5" s="1"/>
  <c r="E83" i="5"/>
  <c r="N83" i="5" s="1"/>
  <c r="P83" i="5" s="1"/>
  <c r="F362" i="5"/>
  <c r="E362" i="5"/>
  <c r="G362" i="5" s="1"/>
  <c r="G363" i="5" s="1"/>
  <c r="G365" i="5" s="1"/>
  <c r="G27" i="12" s="1"/>
  <c r="F582" i="5"/>
  <c r="O582" i="5" s="1"/>
  <c r="E582" i="5"/>
  <c r="N582" i="5" s="1"/>
  <c r="E84" i="5"/>
  <c r="N84" i="5" s="1"/>
  <c r="F84" i="5"/>
  <c r="O84" i="5" s="1"/>
  <c r="E96" i="5"/>
  <c r="N96" i="5" s="1"/>
  <c r="F96" i="5"/>
  <c r="O96" i="5" s="1"/>
  <c r="F164" i="5"/>
  <c r="O164" i="5" s="1"/>
  <c r="E164" i="5"/>
  <c r="F193" i="5"/>
  <c r="O193" i="5" s="1"/>
  <c r="E193" i="5"/>
  <c r="F367" i="5"/>
  <c r="O367" i="5" s="1"/>
  <c r="E367" i="5"/>
  <c r="G367" i="5" s="1"/>
  <c r="F407" i="5"/>
  <c r="E407" i="5"/>
  <c r="F443" i="5"/>
  <c r="E443" i="5"/>
  <c r="N443" i="5" s="1"/>
  <c r="F479" i="5"/>
  <c r="O479" i="5" s="1"/>
  <c r="E479" i="5"/>
  <c r="F519" i="5"/>
  <c r="E519" i="5"/>
  <c r="F543" i="5"/>
  <c r="O543" i="5" s="1"/>
  <c r="E543" i="5"/>
  <c r="G543" i="5" s="1"/>
  <c r="F583" i="5"/>
  <c r="O583" i="5" s="1"/>
  <c r="E583" i="5"/>
  <c r="N583" i="5" s="1"/>
  <c r="E604" i="5"/>
  <c r="N604" i="5" s="1"/>
  <c r="P604" i="5" s="1"/>
  <c r="F604" i="5"/>
  <c r="O604" i="5" s="1"/>
  <c r="E628" i="5"/>
  <c r="N628" i="5" s="1"/>
  <c r="P628" i="5" s="1"/>
  <c r="F628" i="5"/>
  <c r="O628" i="5" s="1"/>
  <c r="F663" i="5"/>
  <c r="O663" i="5" s="1"/>
  <c r="E663" i="5"/>
  <c r="F921" i="5"/>
  <c r="O921" i="5" s="1"/>
  <c r="E921" i="5"/>
  <c r="N921" i="5" s="1"/>
  <c r="F9" i="5"/>
  <c r="O9" i="5" s="1"/>
  <c r="E9" i="5"/>
  <c r="G9" i="5" s="1"/>
  <c r="F60" i="5"/>
  <c r="O60" i="5" s="1"/>
  <c r="E60" i="5"/>
  <c r="F352" i="5"/>
  <c r="O352" i="5" s="1"/>
  <c r="E352" i="5"/>
  <c r="F499" i="5"/>
  <c r="O499" i="5" s="1"/>
  <c r="E499" i="5"/>
  <c r="N499" i="5" s="1"/>
  <c r="P499" i="5" s="1"/>
  <c r="F12" i="5"/>
  <c r="O12" i="5" s="1"/>
  <c r="E12" i="5"/>
  <c r="N12" i="5" s="1"/>
  <c r="P12" i="5" s="1"/>
  <c r="F95" i="5"/>
  <c r="O95" i="5" s="1"/>
  <c r="E95" i="5"/>
  <c r="F188" i="5"/>
  <c r="O188" i="5" s="1"/>
  <c r="E188" i="5"/>
  <c r="N188" i="5" s="1"/>
  <c r="F402" i="5"/>
  <c r="O402" i="5" s="1"/>
  <c r="O403" i="5" s="1"/>
  <c r="O405" i="5" s="1"/>
  <c r="E402" i="5"/>
  <c r="N402" i="5" s="1"/>
  <c r="F478" i="5"/>
  <c r="O478" i="5" s="1"/>
  <c r="E478" i="5"/>
  <c r="G478" i="5" s="1"/>
  <c r="F603" i="5"/>
  <c r="E603" i="5"/>
  <c r="G603" i="5" s="1"/>
  <c r="F627" i="5"/>
  <c r="O627" i="5" s="1"/>
  <c r="E627" i="5"/>
  <c r="N627" i="5" s="1"/>
  <c r="F920" i="5"/>
  <c r="E920" i="5"/>
  <c r="N920" i="5" s="1"/>
  <c r="F85" i="5"/>
  <c r="O85" i="5" s="1"/>
  <c r="E85" i="5"/>
  <c r="G85" i="5" s="1"/>
  <c r="F97" i="5"/>
  <c r="O97" i="5" s="1"/>
  <c r="E97" i="5"/>
  <c r="N97" i="5" s="1"/>
  <c r="P97" i="5" s="1"/>
  <c r="F165" i="5"/>
  <c r="O165" i="5" s="1"/>
  <c r="E165" i="5"/>
  <c r="F194" i="5"/>
  <c r="O194" i="5" s="1"/>
  <c r="E194" i="5"/>
  <c r="E368" i="5"/>
  <c r="F368" i="5"/>
  <c r="O368" i="5" s="1"/>
  <c r="E408" i="5"/>
  <c r="N408" i="5" s="1"/>
  <c r="F408" i="5"/>
  <c r="O408" i="5" s="1"/>
  <c r="E448" i="5"/>
  <c r="F448" i="5"/>
  <c r="E480" i="5"/>
  <c r="F480" i="5"/>
  <c r="O480" i="5" s="1"/>
  <c r="E520" i="5"/>
  <c r="F520" i="5"/>
  <c r="O520" i="5" s="1"/>
  <c r="E544" i="5"/>
  <c r="G544" i="5" s="1"/>
  <c r="F544" i="5"/>
  <c r="O544" i="5" s="1"/>
  <c r="E584" i="5"/>
  <c r="N584" i="5" s="1"/>
  <c r="F584" i="5"/>
  <c r="O584" i="5" s="1"/>
  <c r="F605" i="5"/>
  <c r="O605" i="5" s="1"/>
  <c r="E605" i="5"/>
  <c r="F629" i="5"/>
  <c r="O629" i="5" s="1"/>
  <c r="E629" i="5"/>
  <c r="G629" i="5" s="1"/>
  <c r="E668" i="5"/>
  <c r="F668" i="5"/>
  <c r="F34" i="5"/>
  <c r="O34" i="5" s="1"/>
  <c r="E34" i="5"/>
  <c r="F35" i="5"/>
  <c r="O35" i="5" s="1"/>
  <c r="E35" i="5"/>
  <c r="E472" i="5"/>
  <c r="G472" i="5" s="1"/>
  <c r="F472" i="5"/>
  <c r="O472" i="5" s="1"/>
  <c r="E540" i="5"/>
  <c r="F540" i="5"/>
  <c r="O540" i="5" s="1"/>
  <c r="F597" i="5"/>
  <c r="O597" i="5" s="1"/>
  <c r="E597" i="5"/>
  <c r="F438" i="5"/>
  <c r="E438" i="5"/>
  <c r="F86" i="5"/>
  <c r="O86" i="5" s="1"/>
  <c r="E86" i="5"/>
  <c r="N86" i="5" s="1"/>
  <c r="F98" i="5"/>
  <c r="O98" i="5" s="1"/>
  <c r="E98" i="5"/>
  <c r="N98" i="5" s="1"/>
  <c r="P98" i="5" s="1"/>
  <c r="F166" i="5"/>
  <c r="O166" i="5" s="1"/>
  <c r="E166" i="5"/>
  <c r="F199" i="5"/>
  <c r="E199" i="5"/>
  <c r="F346" i="5"/>
  <c r="E346" i="5"/>
  <c r="F369" i="5"/>
  <c r="O369" i="5" s="1"/>
  <c r="E369" i="5"/>
  <c r="G369" i="5" s="1"/>
  <c r="F413" i="5"/>
  <c r="E413" i="5"/>
  <c r="N413" i="5" s="1"/>
  <c r="F453" i="5"/>
  <c r="O453" i="5" s="1"/>
  <c r="O454" i="5" s="1"/>
  <c r="O456" i="5" s="1"/>
  <c r="E453" i="5"/>
  <c r="G453" i="5" s="1"/>
  <c r="G454" i="5" s="1"/>
  <c r="G456" i="5" s="1"/>
  <c r="G36" i="12" s="1"/>
  <c r="F485" i="5"/>
  <c r="E485" i="5"/>
  <c r="G485" i="5" s="1"/>
  <c r="G486" i="5" s="1"/>
  <c r="G488" i="5" s="1"/>
  <c r="G14" i="12" s="1"/>
  <c r="F521" i="5"/>
  <c r="O521" i="5" s="1"/>
  <c r="E521" i="5"/>
  <c r="F545" i="5"/>
  <c r="O545" i="5" s="1"/>
  <c r="E545" i="5"/>
  <c r="N545" i="5" s="1"/>
  <c r="E590" i="5"/>
  <c r="F590" i="5"/>
  <c r="E606" i="5"/>
  <c r="N606" i="5" s="1"/>
  <c r="F606" i="5"/>
  <c r="O606" i="5" s="1"/>
  <c r="E631" i="5"/>
  <c r="G631" i="5" s="1"/>
  <c r="F631" i="5"/>
  <c r="O631" i="5" s="1"/>
  <c r="F673" i="5"/>
  <c r="O673" i="5" s="1"/>
  <c r="E673" i="5"/>
  <c r="N673" i="5" s="1"/>
  <c r="F539" i="5"/>
  <c r="O539" i="5" s="1"/>
  <c r="E539" i="5"/>
  <c r="F93" i="5"/>
  <c r="O93" i="5" s="1"/>
  <c r="E93" i="5"/>
  <c r="F433" i="5"/>
  <c r="E433" i="5"/>
  <c r="F661" i="5"/>
  <c r="O661" i="5" s="1"/>
  <c r="E661" i="5"/>
  <c r="N661" i="5" s="1"/>
  <c r="F163" i="5"/>
  <c r="E163" i="5"/>
  <c r="N163" i="5" s="1"/>
  <c r="F87" i="5"/>
  <c r="O87" i="5" s="1"/>
  <c r="E87" i="5"/>
  <c r="F200" i="5"/>
  <c r="O200" i="5" s="1"/>
  <c r="E200" i="5"/>
  <c r="F347" i="5"/>
  <c r="O347" i="5" s="1"/>
  <c r="E347" i="5"/>
  <c r="E374" i="5"/>
  <c r="N374" i="5" s="1"/>
  <c r="F374" i="5"/>
  <c r="E418" i="5"/>
  <c r="F418" i="5"/>
  <c r="E458" i="5"/>
  <c r="N458" i="5" s="1"/>
  <c r="N459" i="5" s="1"/>
  <c r="N461" i="5" s="1"/>
  <c r="F458" i="5"/>
  <c r="F459" i="5" s="1"/>
  <c r="F461" i="5" s="1"/>
  <c r="E490" i="5"/>
  <c r="N490" i="5" s="1"/>
  <c r="F490" i="5"/>
  <c r="E526" i="5"/>
  <c r="N526" i="5" s="1"/>
  <c r="F526" i="5"/>
  <c r="F527" i="5" s="1"/>
  <c r="F529" i="5" s="1"/>
  <c r="E546" i="5"/>
  <c r="F546" i="5"/>
  <c r="O546" i="5" s="1"/>
  <c r="F591" i="5"/>
  <c r="O591" i="5" s="1"/>
  <c r="E591" i="5"/>
  <c r="F607" i="5"/>
  <c r="O607" i="5" s="1"/>
  <c r="E607" i="5"/>
  <c r="N607" i="5" s="1"/>
  <c r="P607" i="5" s="1"/>
  <c r="F636" i="5"/>
  <c r="F638" i="5" s="1"/>
  <c r="E636" i="5"/>
  <c r="E638" i="5" s="1"/>
  <c r="F674" i="5"/>
  <c r="O674" i="5" s="1"/>
  <c r="E674" i="5"/>
  <c r="F957" i="5"/>
  <c r="E957" i="5"/>
  <c r="F92" i="5"/>
  <c r="O92" i="5" s="1"/>
  <c r="E92" i="5"/>
  <c r="F181" i="5"/>
  <c r="O181" i="5" s="1"/>
  <c r="E181" i="5"/>
  <c r="N181" i="5" s="1"/>
  <c r="F423" i="5"/>
  <c r="O423" i="5" s="1"/>
  <c r="E423" i="5"/>
  <c r="E620" i="5"/>
  <c r="F620" i="5"/>
  <c r="E10" i="5"/>
  <c r="F10" i="5"/>
  <c r="O10" i="5" s="1"/>
  <c r="F61" i="5"/>
  <c r="O61" i="5" s="1"/>
  <c r="E61" i="5"/>
  <c r="G61" i="5" s="1"/>
  <c r="E157" i="5"/>
  <c r="F157" i="5"/>
  <c r="E428" i="5"/>
  <c r="G428" i="5" s="1"/>
  <c r="G429" i="5" s="1"/>
  <c r="G431" i="5" s="1"/>
  <c r="G32" i="12" s="1"/>
  <c r="F428" i="5"/>
  <c r="O428" i="5" s="1"/>
  <c r="O429" i="5" s="1"/>
  <c r="O431" i="5" s="1"/>
  <c r="F477" i="5"/>
  <c r="E477" i="5"/>
  <c r="F598" i="5"/>
  <c r="O598" i="5" s="1"/>
  <c r="E598" i="5"/>
  <c r="N598" i="5" s="1"/>
  <c r="F514" i="5"/>
  <c r="E514" i="5"/>
  <c r="F947" i="5"/>
  <c r="O947" i="5" s="1"/>
  <c r="E947" i="5"/>
  <c r="N947" i="5" s="1"/>
  <c r="F171" i="5"/>
  <c r="O171" i="5" s="1"/>
  <c r="E171" i="5"/>
  <c r="F26" i="5"/>
  <c r="O26" i="5" s="1"/>
  <c r="O27" i="5" s="1"/>
  <c r="O29" i="5" s="1"/>
  <c r="E26" i="5"/>
  <c r="E27" i="5" s="1"/>
  <c r="E29" i="5" s="1"/>
  <c r="F88" i="5"/>
  <c r="O88" i="5" s="1"/>
  <c r="E88" i="5"/>
  <c r="F100" i="5"/>
  <c r="O100" i="5" s="1"/>
  <c r="E100" i="5"/>
  <c r="F172" i="5"/>
  <c r="O172" i="5" s="1"/>
  <c r="E172" i="5"/>
  <c r="F379" i="5"/>
  <c r="E379" i="5"/>
  <c r="G379" i="5" s="1"/>
  <c r="G380" i="5" s="1"/>
  <c r="G382" i="5" s="1"/>
  <c r="G37" i="12" s="1"/>
  <c r="F463" i="5"/>
  <c r="E463" i="5"/>
  <c r="F592" i="5"/>
  <c r="O592" i="5" s="1"/>
  <c r="E592" i="5"/>
  <c r="G592" i="5" s="1"/>
  <c r="E913" i="5"/>
  <c r="F913" i="5"/>
  <c r="O913" i="5" s="1"/>
  <c r="J892" i="5"/>
  <c r="J894" i="5" s="1"/>
  <c r="J856" i="5"/>
  <c r="J858" i="5" s="1"/>
  <c r="G892" i="5"/>
  <c r="G894" i="5" s="1"/>
  <c r="G856" i="5"/>
  <c r="G858" i="5" s="1"/>
  <c r="G337" i="5"/>
  <c r="G339" i="5" s="1"/>
  <c r="J337" i="5"/>
  <c r="J339" i="5" s="1"/>
  <c r="G298" i="5"/>
  <c r="G300" i="5" s="1"/>
  <c r="J298" i="5"/>
  <c r="J300" i="5" s="1"/>
  <c r="G284" i="5"/>
  <c r="G286" i="5" s="1"/>
  <c r="J284" i="5"/>
  <c r="J286" i="5" s="1"/>
  <c r="M638" i="5"/>
  <c r="M640" i="5" s="1"/>
  <c r="J638" i="5"/>
  <c r="J640" i="5" s="1"/>
  <c r="M586" i="5"/>
  <c r="M588" i="5" s="1"/>
  <c r="J586" i="5"/>
  <c r="J588" i="5" s="1"/>
  <c r="J211" i="5"/>
  <c r="J213" i="5" s="1"/>
  <c r="M211" i="5"/>
  <c r="M213" i="5" s="1"/>
  <c r="G305" i="5"/>
  <c r="G307" i="5" s="1"/>
  <c r="J305" i="5"/>
  <c r="J307" i="5" s="1"/>
  <c r="P37" i="5"/>
  <c r="P58" i="5"/>
  <c r="L976" i="5"/>
  <c r="I36" i="16"/>
  <c r="I26" i="18"/>
  <c r="I29" i="14"/>
  <c r="K852" i="5"/>
  <c r="M852" i="5" s="1"/>
  <c r="K976" i="5"/>
  <c r="G963" i="5"/>
  <c r="J409" i="5"/>
  <c r="J411" i="5" s="1"/>
  <c r="J465" i="5"/>
  <c r="J467" i="5" s="1"/>
  <c r="P912" i="5"/>
  <c r="I32" i="15"/>
  <c r="I35" i="17"/>
  <c r="P928" i="5"/>
  <c r="P969" i="5"/>
  <c r="H57" i="5"/>
  <c r="J217" i="5"/>
  <c r="J219" i="5" s="1"/>
  <c r="J682" i="5"/>
  <c r="J684" i="5" s="1"/>
  <c r="P679" i="5"/>
  <c r="H719" i="5"/>
  <c r="H720" i="5" s="1"/>
  <c r="H722" i="5" s="1"/>
  <c r="I784" i="5"/>
  <c r="O784" i="5" s="1"/>
  <c r="O785" i="5" s="1"/>
  <c r="O787" i="5" s="1"/>
  <c r="L943" i="5"/>
  <c r="I794" i="5"/>
  <c r="O794" i="5" s="1"/>
  <c r="O795" i="5" s="1"/>
  <c r="O797" i="5" s="1"/>
  <c r="M959" i="5"/>
  <c r="P76" i="5"/>
  <c r="P960" i="5"/>
  <c r="P964" i="5"/>
  <c r="P967" i="5"/>
  <c r="J370" i="5"/>
  <c r="J372" i="5" s="1"/>
  <c r="J481" i="5"/>
  <c r="J483" i="5" s="1"/>
  <c r="M409" i="5"/>
  <c r="M411" i="5" s="1"/>
  <c r="J676" i="5"/>
  <c r="J678" i="5" s="1"/>
  <c r="J948" i="5"/>
  <c r="P50" i="5"/>
  <c r="P74" i="5"/>
  <c r="H135" i="5"/>
  <c r="N135" i="5" s="1"/>
  <c r="P135" i="5" s="1"/>
  <c r="H64" i="5"/>
  <c r="N64" i="5" s="1"/>
  <c r="L824" i="5"/>
  <c r="O824" i="5" s="1"/>
  <c r="H136" i="5"/>
  <c r="N136" i="5" s="1"/>
  <c r="P136" i="5" s="1"/>
  <c r="M189" i="5"/>
  <c r="M191" i="5" s="1"/>
  <c r="J904" i="5"/>
  <c r="J906" i="5" s="1"/>
  <c r="L830" i="5"/>
  <c r="L831" i="5" s="1"/>
  <c r="L833" i="5" s="1"/>
  <c r="H226" i="5"/>
  <c r="J226" i="5" s="1"/>
  <c r="J227" i="5" s="1"/>
  <c r="J229" i="5" s="1"/>
  <c r="G8" i="15" s="1"/>
  <c r="G41" i="5"/>
  <c r="M195" i="5"/>
  <c r="M197" i="5" s="1"/>
  <c r="M465" i="5"/>
  <c r="M467" i="5" s="1"/>
  <c r="J568" i="5"/>
  <c r="J570" i="5" s="1"/>
  <c r="P751" i="5"/>
  <c r="M62" i="5"/>
  <c r="J62" i="5"/>
  <c r="J500" i="5"/>
  <c r="J502" i="5" s="1"/>
  <c r="G770" i="5"/>
  <c r="G772" i="5" s="1"/>
  <c r="M17" i="5"/>
  <c r="M976" i="5"/>
  <c r="P18" i="5"/>
  <c r="P23" i="5"/>
  <c r="P48" i="5"/>
  <c r="P587" i="5"/>
  <c r="M682" i="5"/>
  <c r="M684" i="5" s="1"/>
  <c r="H40" i="5"/>
  <c r="J40" i="5" s="1"/>
  <c r="L46" i="5"/>
  <c r="O46" i="5" s="1"/>
  <c r="P46" i="5" s="1"/>
  <c r="H765" i="5"/>
  <c r="N765" i="5" s="1"/>
  <c r="P765" i="5" s="1"/>
  <c r="K943" i="5"/>
  <c r="G904" i="5"/>
  <c r="G906" i="5" s="1"/>
  <c r="G931" i="5"/>
  <c r="M370" i="5"/>
  <c r="M372" i="5" s="1"/>
  <c r="M481" i="5"/>
  <c r="M483" i="5" s="1"/>
  <c r="M948" i="5"/>
  <c r="L71" i="5"/>
  <c r="L73" i="5" s="1"/>
  <c r="L75" i="5" s="1"/>
  <c r="K835" i="5"/>
  <c r="P42" i="5"/>
  <c r="P923" i="5"/>
  <c r="I65" i="5"/>
  <c r="O65" i="5" s="1"/>
  <c r="P65" i="5" s="1"/>
  <c r="I766" i="5"/>
  <c r="O766" i="5" s="1"/>
  <c r="G47" i="5"/>
  <c r="M568" i="5"/>
  <c r="M570" i="5" s="1"/>
  <c r="M922" i="5"/>
  <c r="J189" i="5"/>
  <c r="J191" i="5" s="1"/>
  <c r="J386" i="5"/>
  <c r="J388" i="5" s="1"/>
  <c r="J616" i="5"/>
  <c r="J618" i="5" s="1"/>
  <c r="K72" i="5"/>
  <c r="K73" i="5" s="1"/>
  <c r="K75" i="5" s="1"/>
  <c r="K841" i="5"/>
  <c r="N841" i="5" s="1"/>
  <c r="P63" i="5"/>
  <c r="P143" i="5"/>
  <c r="P389" i="5"/>
  <c r="I132" i="5"/>
  <c r="O132" i="5" s="1"/>
  <c r="I767" i="5"/>
  <c r="O767" i="5" s="1"/>
  <c r="K140" i="5"/>
  <c r="N140" i="5" s="1"/>
  <c r="P140" i="5" s="1"/>
  <c r="I814" i="5"/>
  <c r="O814" i="5" s="1"/>
  <c r="O815" i="5" s="1"/>
  <c r="O817" i="5" s="1"/>
  <c r="J142" i="5"/>
  <c r="J195" i="5"/>
  <c r="J197" i="5" s="1"/>
  <c r="J392" i="5"/>
  <c r="J394" i="5" s="1"/>
  <c r="J931" i="5"/>
  <c r="L289" i="5"/>
  <c r="O289" i="5" s="1"/>
  <c r="P289" i="5" s="1"/>
  <c r="K889" i="5"/>
  <c r="M889" i="5" s="1"/>
  <c r="P364" i="5"/>
  <c r="H235" i="5"/>
  <c r="N235" i="5" s="1"/>
  <c r="J837" i="5"/>
  <c r="J839" i="5" s="1"/>
  <c r="G837" i="5"/>
  <c r="G839" i="5" s="1"/>
  <c r="K293" i="5"/>
  <c r="N293" i="5" s="1"/>
  <c r="P293" i="5" s="1"/>
  <c r="L897" i="5"/>
  <c r="O897" i="5" s="1"/>
  <c r="P897" i="5" s="1"/>
  <c r="I701" i="5"/>
  <c r="O701" i="5" s="1"/>
  <c r="P701" i="5" s="1"/>
  <c r="K45" i="5"/>
  <c r="N45" i="5" s="1"/>
  <c r="P45" i="5" s="1"/>
  <c r="K886" i="5"/>
  <c r="G17" i="5"/>
  <c r="G142" i="5"/>
  <c r="G273" i="5"/>
  <c r="G275" i="5" s="1"/>
  <c r="M69" i="5"/>
  <c r="K329" i="5"/>
  <c r="N329" i="5" s="1"/>
  <c r="L902" i="5"/>
  <c r="O902" i="5" s="1"/>
  <c r="P28" i="5"/>
  <c r="P399" i="5"/>
  <c r="P435" i="5"/>
  <c r="P956" i="5"/>
  <c r="H702" i="5"/>
  <c r="K871" i="5"/>
  <c r="M871" i="5" s="1"/>
  <c r="O99" i="5"/>
  <c r="J167" i="5"/>
  <c r="J169" i="5" s="1"/>
  <c r="J183" i="5"/>
  <c r="J185" i="5" s="1"/>
  <c r="J959" i="5"/>
  <c r="K908" i="5"/>
  <c r="M908" i="5" s="1"/>
  <c r="M909" i="5" s="1"/>
  <c r="M911" i="5" s="1"/>
  <c r="G20" i="17" s="1"/>
  <c r="G56" i="13" s="1"/>
  <c r="P975" i="5"/>
  <c r="K955" i="5"/>
  <c r="J610" i="5"/>
  <c r="J612" i="5" s="1"/>
  <c r="J203" i="5"/>
  <c r="J205" i="5" s="1"/>
  <c r="J938" i="5"/>
  <c r="P104" i="5"/>
  <c r="I704" i="5"/>
  <c r="O704" i="5" s="1"/>
  <c r="P704" i="5" s="1"/>
  <c r="O235" i="5"/>
  <c r="O886" i="5"/>
  <c r="N850" i="5"/>
  <c r="L966" i="5"/>
  <c r="L968" i="5" s="1"/>
  <c r="O965" i="5"/>
  <c r="O966" i="5" s="1"/>
  <c r="N119" i="5"/>
  <c r="O19" i="5"/>
  <c r="L54" i="5"/>
  <c r="K54" i="5"/>
  <c r="I128" i="5"/>
  <c r="O128" i="5" s="1"/>
  <c r="H128" i="5"/>
  <c r="N128" i="5" s="1"/>
  <c r="P128" i="5" s="1"/>
  <c r="K930" i="5"/>
  <c r="L930" i="5"/>
  <c r="O930" i="5" s="1"/>
  <c r="H106" i="5"/>
  <c r="I106" i="5"/>
  <c r="O106" i="5" s="1"/>
  <c r="H130" i="5"/>
  <c r="I130" i="5"/>
  <c r="O130" i="5" s="1"/>
  <c r="O246" i="5"/>
  <c r="O247" i="5" s="1"/>
  <c r="O249" i="5" s="1"/>
  <c r="I247" i="5"/>
  <c r="I249" i="5" s="1"/>
  <c r="N686" i="5"/>
  <c r="H687" i="5"/>
  <c r="H689" i="5" s="1"/>
  <c r="I131" i="5"/>
  <c r="O131" i="5" s="1"/>
  <c r="H131" i="5"/>
  <c r="H251" i="5"/>
  <c r="N251" i="5" s="1"/>
  <c r="I251" i="5"/>
  <c r="L288" i="5"/>
  <c r="K288" i="5"/>
  <c r="L320" i="5"/>
  <c r="L322" i="5" s="1"/>
  <c r="O319" i="5"/>
  <c r="H691" i="5"/>
  <c r="N691" i="5" s="1"/>
  <c r="I691" i="5"/>
  <c r="M262" i="5"/>
  <c r="M264" i="5" s="1"/>
  <c r="M473" i="5"/>
  <c r="M475" i="5" s="1"/>
  <c r="M634" i="5"/>
  <c r="M927" i="5"/>
  <c r="N824" i="5"/>
  <c r="I119" i="5"/>
  <c r="O119" i="5" s="1"/>
  <c r="I115" i="5"/>
  <c r="O115" i="5" s="1"/>
  <c r="H115" i="5"/>
  <c r="N115" i="5" s="1"/>
  <c r="I127" i="5"/>
  <c r="O127" i="5" s="1"/>
  <c r="H127" i="5"/>
  <c r="L141" i="5"/>
  <c r="O141" i="5" s="1"/>
  <c r="K141" i="5"/>
  <c r="N141" i="5" s="1"/>
  <c r="H271" i="5"/>
  <c r="I271" i="5"/>
  <c r="K296" i="5"/>
  <c r="L296" i="5"/>
  <c r="O296" i="5" s="1"/>
  <c r="O719" i="5"/>
  <c r="O720" i="5" s="1"/>
  <c r="O722" i="5" s="1"/>
  <c r="I720" i="5"/>
  <c r="I722" i="5" s="1"/>
  <c r="L819" i="5"/>
  <c r="K819" i="5"/>
  <c r="L847" i="5"/>
  <c r="O847" i="5" s="1"/>
  <c r="K847" i="5"/>
  <c r="L876" i="5"/>
  <c r="K876" i="5"/>
  <c r="L929" i="5"/>
  <c r="K929" i="5"/>
  <c r="G262" i="5"/>
  <c r="G264" i="5" s="1"/>
  <c r="G953" i="5"/>
  <c r="M153" i="5"/>
  <c r="M155" i="5" s="1"/>
  <c r="M398" i="5"/>
  <c r="M400" i="5" s="1"/>
  <c r="J898" i="5"/>
  <c r="J900" i="5" s="1"/>
  <c r="K294" i="5"/>
  <c r="N294" i="5" s="1"/>
  <c r="P294" i="5" s="1"/>
  <c r="L881" i="5"/>
  <c r="P677" i="5"/>
  <c r="I120" i="5"/>
  <c r="O120" i="5" s="1"/>
  <c r="H236" i="5"/>
  <c r="I236" i="5"/>
  <c r="O236" i="5" s="1"/>
  <c r="K820" i="5"/>
  <c r="L820" i="5"/>
  <c r="O820" i="5" s="1"/>
  <c r="H116" i="5"/>
  <c r="J116" i="5" s="1"/>
  <c r="I116" i="5"/>
  <c r="O116" i="5" s="1"/>
  <c r="K307" i="5"/>
  <c r="N302" i="5"/>
  <c r="N305" i="5" s="1"/>
  <c r="I724" i="5"/>
  <c r="H724" i="5"/>
  <c r="N724" i="5" s="1"/>
  <c r="H961" i="5"/>
  <c r="I961" i="5"/>
  <c r="I105" i="5"/>
  <c r="H105" i="5"/>
  <c r="N105" i="5" s="1"/>
  <c r="I117" i="5"/>
  <c r="O117" i="5" s="1"/>
  <c r="H117" i="5"/>
  <c r="N117" i="5" s="1"/>
  <c r="H129" i="5"/>
  <c r="I129" i="5"/>
  <c r="O129" i="5" s="1"/>
  <c r="I241" i="5"/>
  <c r="H241" i="5"/>
  <c r="I277" i="5"/>
  <c r="H277" i="5"/>
  <c r="N277" i="5" s="1"/>
  <c r="K310" i="5"/>
  <c r="K312" i="5" s="1"/>
  <c r="N309" i="5"/>
  <c r="I729" i="5"/>
  <c r="H729" i="5"/>
  <c r="J729" i="5" s="1"/>
  <c r="J730" i="5" s="1"/>
  <c r="J732" i="5" s="1"/>
  <c r="G15" i="15" s="1"/>
  <c r="I769" i="5"/>
  <c r="O769" i="5" s="1"/>
  <c r="H769" i="5"/>
  <c r="N769" i="5" s="1"/>
  <c r="I962" i="5"/>
  <c r="O962" i="5" s="1"/>
  <c r="H962" i="5"/>
  <c r="J962" i="5" s="1"/>
  <c r="G826" i="5"/>
  <c r="G828" i="5" s="1"/>
  <c r="G872" i="5"/>
  <c r="G874" i="5" s="1"/>
  <c r="M822" i="5"/>
  <c r="J22" i="5"/>
  <c r="J360" i="5"/>
  <c r="J652" i="5"/>
  <c r="J654" i="5" s="1"/>
  <c r="L309" i="5"/>
  <c r="M309" i="5" s="1"/>
  <c r="M310" i="5" s="1"/>
  <c r="M312" i="5" s="1"/>
  <c r="G13" i="17" s="1"/>
  <c r="P611" i="5"/>
  <c r="H768" i="5"/>
  <c r="I768" i="5"/>
  <c r="O768" i="5" s="1"/>
  <c r="L302" i="5"/>
  <c r="I734" i="5"/>
  <c r="H734" i="5"/>
  <c r="N734" i="5" s="1"/>
  <c r="K848" i="5"/>
  <c r="L848" i="5"/>
  <c r="O848" i="5" s="1"/>
  <c r="L282" i="5"/>
  <c r="L284" i="5" s="1"/>
  <c r="K282" i="5"/>
  <c r="K284" i="5" s="1"/>
  <c r="M887" i="5"/>
  <c r="N887" i="5"/>
  <c r="P887" i="5" s="1"/>
  <c r="I779" i="5"/>
  <c r="H779" i="5"/>
  <c r="K319" i="5"/>
  <c r="I38" i="5"/>
  <c r="H38" i="5"/>
  <c r="H108" i="5"/>
  <c r="J108" i="5" s="1"/>
  <c r="I108" i="5"/>
  <c r="O108" i="5" s="1"/>
  <c r="H39" i="5"/>
  <c r="I39" i="5"/>
  <c r="O39" i="5" s="1"/>
  <c r="H107" i="5"/>
  <c r="I15" i="5"/>
  <c r="H15" i="5"/>
  <c r="I66" i="5"/>
  <c r="O66" i="5" s="1"/>
  <c r="H66" i="5"/>
  <c r="I258" i="5"/>
  <c r="O258" i="5" s="1"/>
  <c r="H258" i="5"/>
  <c r="L335" i="5"/>
  <c r="O335" i="5" s="1"/>
  <c r="K335" i="5"/>
  <c r="K337" i="5" s="1"/>
  <c r="G138" i="5"/>
  <c r="G237" i="5"/>
  <c r="G239" i="5" s="1"/>
  <c r="M500" i="5"/>
  <c r="M502" i="5" s="1"/>
  <c r="M599" i="5"/>
  <c r="M601" i="5" s="1"/>
  <c r="J112" i="5"/>
  <c r="K19" i="5"/>
  <c r="M19" i="5" s="1"/>
  <c r="L290" i="5"/>
  <c r="O290" i="5" s="1"/>
  <c r="P290" i="5" s="1"/>
  <c r="L334" i="5"/>
  <c r="K851" i="5"/>
  <c r="N314" i="5"/>
  <c r="N315" i="5" s="1"/>
  <c r="N317" i="5" s="1"/>
  <c r="I112" i="5"/>
  <c r="O112" i="5" s="1"/>
  <c r="H246" i="5"/>
  <c r="J246" i="5" s="1"/>
  <c r="J247" i="5" s="1"/>
  <c r="J249" i="5" s="1"/>
  <c r="G36" i="15" s="1"/>
  <c r="M103" i="5"/>
  <c r="M237" i="5"/>
  <c r="M239" i="5" s="1"/>
  <c r="M610" i="5"/>
  <c r="M612" i="5" s="1"/>
  <c r="J599" i="5"/>
  <c r="J601" i="5" s="1"/>
  <c r="L850" i="5"/>
  <c r="O850" i="5" s="1"/>
  <c r="I110" i="5"/>
  <c r="O110" i="5" s="1"/>
  <c r="H110" i="5"/>
  <c r="I122" i="5"/>
  <c r="O122" i="5" s="1"/>
  <c r="H122" i="5"/>
  <c r="I134" i="5"/>
  <c r="O134" i="5" s="1"/>
  <c r="H134" i="5"/>
  <c r="O226" i="5"/>
  <c r="O227" i="5" s="1"/>
  <c r="O229" i="5" s="1"/>
  <c r="I227" i="5"/>
  <c r="I229" i="5" s="1"/>
  <c r="N898" i="5"/>
  <c r="N900" i="5" s="1"/>
  <c r="P896" i="5"/>
  <c r="I16" i="5"/>
  <c r="O16" i="5" s="1"/>
  <c r="H16" i="5"/>
  <c r="N16" i="5" s="1"/>
  <c r="L43" i="5"/>
  <c r="K43" i="5"/>
  <c r="I67" i="5"/>
  <c r="O67" i="5" s="1"/>
  <c r="H67" i="5"/>
  <c r="I111" i="5"/>
  <c r="O111" i="5" s="1"/>
  <c r="H111" i="5"/>
  <c r="H123" i="5"/>
  <c r="I123" i="5"/>
  <c r="O123" i="5" s="1"/>
  <c r="I231" i="5"/>
  <c r="H231" i="5"/>
  <c r="I259" i="5"/>
  <c r="O259" i="5" s="1"/>
  <c r="H259" i="5"/>
  <c r="K342" i="5"/>
  <c r="K344" i="5" s="1"/>
  <c r="I703" i="5"/>
  <c r="O703" i="5" s="1"/>
  <c r="H703" i="5"/>
  <c r="I759" i="5"/>
  <c r="H759" i="5"/>
  <c r="N759" i="5" s="1"/>
  <c r="N760" i="5" s="1"/>
  <c r="N762" i="5" s="1"/>
  <c r="I799" i="5"/>
  <c r="H799" i="5"/>
  <c r="N799" i="5" s="1"/>
  <c r="L860" i="5"/>
  <c r="K860" i="5"/>
  <c r="H950" i="5"/>
  <c r="I950" i="5"/>
  <c r="L291" i="5"/>
  <c r="O291" i="5" s="1"/>
  <c r="P291" i="5" s="1"/>
  <c r="L341" i="5"/>
  <c r="M341" i="5" s="1"/>
  <c r="M342" i="5" s="1"/>
  <c r="M344" i="5" s="1"/>
  <c r="G14" i="17" s="1"/>
  <c r="K965" i="5"/>
  <c r="P53" i="5"/>
  <c r="N341" i="5"/>
  <c r="N767" i="5"/>
  <c r="P767" i="5" s="1"/>
  <c r="H118" i="5"/>
  <c r="I260" i="5"/>
  <c r="O260" i="5" s="1"/>
  <c r="I804" i="5"/>
  <c r="J804" i="5" s="1"/>
  <c r="J805" i="5" s="1"/>
  <c r="J807" i="5" s="1"/>
  <c r="G26" i="16" s="1"/>
  <c r="I774" i="5"/>
  <c r="H774" i="5"/>
  <c r="N774" i="5" s="1"/>
  <c r="L314" i="5"/>
  <c r="H739" i="5"/>
  <c r="I739" i="5"/>
  <c r="L823" i="5"/>
  <c r="O823" i="5" s="1"/>
  <c r="K823" i="5"/>
  <c r="L888" i="5"/>
  <c r="O888" i="5" s="1"/>
  <c r="K888" i="5"/>
  <c r="P30" i="5"/>
  <c r="O64" i="5"/>
  <c r="I109" i="5"/>
  <c r="O109" i="5" s="1"/>
  <c r="H109" i="5"/>
  <c r="N109" i="5" s="1"/>
  <c r="I133" i="5"/>
  <c r="O133" i="5" s="1"/>
  <c r="H133" i="5"/>
  <c r="N133" i="5" s="1"/>
  <c r="H257" i="5"/>
  <c r="I257" i="5"/>
  <c r="O257" i="5" s="1"/>
  <c r="N334" i="5"/>
  <c r="L44" i="5"/>
  <c r="O44" i="5" s="1"/>
  <c r="K44" i="5"/>
  <c r="H68" i="5"/>
  <c r="N68" i="5" s="1"/>
  <c r="I68" i="5"/>
  <c r="O68" i="5" s="1"/>
  <c r="I124" i="5"/>
  <c r="O124" i="5" s="1"/>
  <c r="H124" i="5"/>
  <c r="I232" i="5"/>
  <c r="O232" i="5" s="1"/>
  <c r="H232" i="5"/>
  <c r="N260" i="5"/>
  <c r="H764" i="5"/>
  <c r="I764" i="5"/>
  <c r="H805" i="5"/>
  <c r="H807" i="5" s="1"/>
  <c r="L836" i="5"/>
  <c r="K836" i="5"/>
  <c r="K865" i="5"/>
  <c r="L865" i="5"/>
  <c r="N902" i="5"/>
  <c r="M902" i="5"/>
  <c r="I924" i="5"/>
  <c r="H924" i="5"/>
  <c r="G69" i="5"/>
  <c r="M41" i="5"/>
  <c r="M138" i="5"/>
  <c r="M203" i="5"/>
  <c r="M205" i="5" s="1"/>
  <c r="M522" i="5"/>
  <c r="M524" i="5" s="1"/>
  <c r="K20" i="5"/>
  <c r="K292" i="5"/>
  <c r="N292" i="5" s="1"/>
  <c r="P292" i="5" s="1"/>
  <c r="K821" i="5"/>
  <c r="I686" i="5"/>
  <c r="I272" i="5"/>
  <c r="O272" i="5" s="1"/>
  <c r="H272" i="5"/>
  <c r="M881" i="5"/>
  <c r="M882" i="5" s="1"/>
  <c r="M884" i="5" s="1"/>
  <c r="G23" i="17" s="1"/>
  <c r="K882" i="5"/>
  <c r="K884" i="5" s="1"/>
  <c r="N881" i="5"/>
  <c r="J103" i="5"/>
  <c r="L887" i="5"/>
  <c r="O887" i="5" s="1"/>
  <c r="K849" i="5"/>
  <c r="O140" i="5"/>
  <c r="I121" i="5"/>
  <c r="O121" i="5" s="1"/>
  <c r="H121" i="5"/>
  <c r="N121" i="5" s="1"/>
  <c r="N21" i="5"/>
  <c r="N71" i="5"/>
  <c r="I113" i="5"/>
  <c r="O113" i="5" s="1"/>
  <c r="H113" i="5"/>
  <c r="I125" i="5"/>
  <c r="O125" i="5" s="1"/>
  <c r="H125" i="5"/>
  <c r="H137" i="5"/>
  <c r="I137" i="5"/>
  <c r="O137" i="5" s="1"/>
  <c r="H233" i="5"/>
  <c r="N233" i="5" s="1"/>
  <c r="I233" i="5"/>
  <c r="O233" i="5" s="1"/>
  <c r="I261" i="5"/>
  <c r="O261" i="5" s="1"/>
  <c r="H261" i="5"/>
  <c r="N261" i="5" s="1"/>
  <c r="I709" i="5"/>
  <c r="H709" i="5"/>
  <c r="N709" i="5" s="1"/>
  <c r="I809" i="5"/>
  <c r="H809" i="5"/>
  <c r="L842" i="5"/>
  <c r="L844" i="5" s="1"/>
  <c r="O841" i="5"/>
  <c r="O842" i="5" s="1"/>
  <c r="O844" i="5" s="1"/>
  <c r="L872" i="5"/>
  <c r="L874" i="5" s="1"/>
  <c r="O870" i="5"/>
  <c r="O872" i="5" s="1"/>
  <c r="O874" i="5" s="1"/>
  <c r="L903" i="5"/>
  <c r="O903" i="5" s="1"/>
  <c r="K903" i="5"/>
  <c r="K904" i="5" s="1"/>
  <c r="K906" i="5" s="1"/>
  <c r="H925" i="5"/>
  <c r="I925" i="5"/>
  <c r="O925" i="5" s="1"/>
  <c r="H952" i="5"/>
  <c r="N952" i="5" s="1"/>
  <c r="I952" i="5"/>
  <c r="O952" i="5" s="1"/>
  <c r="M273" i="5"/>
  <c r="M275" i="5" s="1"/>
  <c r="M646" i="5"/>
  <c r="M648" i="5" s="1"/>
  <c r="M664" i="5"/>
  <c r="M666" i="5" s="1"/>
  <c r="J473" i="5"/>
  <c r="J475" i="5" s="1"/>
  <c r="J634" i="5"/>
  <c r="L21" i="5"/>
  <c r="O21" i="5" s="1"/>
  <c r="L822" i="5"/>
  <c r="O822" i="5" s="1"/>
  <c r="K870" i="5"/>
  <c r="M13" i="5"/>
  <c r="H951" i="5"/>
  <c r="M676" i="5"/>
  <c r="M678" i="5" s="1"/>
  <c r="J36" i="5"/>
  <c r="J175" i="5"/>
  <c r="J177" i="5" s="1"/>
  <c r="J398" i="5"/>
  <c r="J400" i="5" s="1"/>
  <c r="K846" i="5"/>
  <c r="H266" i="5"/>
  <c r="J266" i="5" s="1"/>
  <c r="J267" i="5" s="1"/>
  <c r="J269" i="5" s="1"/>
  <c r="G12" i="16" s="1"/>
  <c r="I126" i="5"/>
  <c r="O126" i="5" s="1"/>
  <c r="H126" i="5"/>
  <c r="N126" i="5" s="1"/>
  <c r="P126" i="5" s="1"/>
  <c r="I234" i="5"/>
  <c r="O234" i="5" s="1"/>
  <c r="H234" i="5"/>
  <c r="N234" i="5" s="1"/>
  <c r="O266" i="5"/>
  <c r="O267" i="5" s="1"/>
  <c r="O269" i="5" s="1"/>
  <c r="I267" i="5"/>
  <c r="I269" i="5" s="1"/>
  <c r="H714" i="5"/>
  <c r="I714" i="5"/>
  <c r="N814" i="5"/>
  <c r="H815" i="5"/>
  <c r="H817" i="5" s="1"/>
  <c r="O846" i="5"/>
  <c r="I926" i="5"/>
  <c r="O926" i="5" s="1"/>
  <c r="H926" i="5"/>
  <c r="N926" i="5" s="1"/>
  <c r="G22" i="5"/>
  <c r="G705" i="5"/>
  <c r="G707" i="5" s="1"/>
  <c r="G927" i="5"/>
  <c r="M167" i="5"/>
  <c r="M169" i="5" s="1"/>
  <c r="M183" i="5"/>
  <c r="M185" i="5" s="1"/>
  <c r="M217" i="5"/>
  <c r="M219" i="5" s="1"/>
  <c r="M392" i="5"/>
  <c r="M394" i="5" s="1"/>
  <c r="M547" i="5"/>
  <c r="M549" i="5" s="1"/>
  <c r="M963" i="5"/>
  <c r="J57" i="5"/>
  <c r="J73" i="5"/>
  <c r="J159" i="5"/>
  <c r="J161" i="5" s="1"/>
  <c r="I114" i="5"/>
  <c r="O114" i="5" s="1"/>
  <c r="I256" i="5"/>
  <c r="H256" i="5"/>
  <c r="K324" i="5"/>
  <c r="L324" i="5"/>
  <c r="I696" i="5"/>
  <c r="H696" i="5"/>
  <c r="N744" i="5"/>
  <c r="H745" i="5"/>
  <c r="H747" i="5" s="1"/>
  <c r="N784" i="5"/>
  <c r="H785" i="5"/>
  <c r="H787" i="5" s="1"/>
  <c r="O940" i="5"/>
  <c r="O941" i="5" s="1"/>
  <c r="I941" i="5"/>
  <c r="I943" i="5" s="1"/>
  <c r="I973" i="5"/>
  <c r="H973" i="5"/>
  <c r="N973" i="5" s="1"/>
  <c r="M175" i="5"/>
  <c r="M177" i="5" s="1"/>
  <c r="M424" i="5"/>
  <c r="M426" i="5" s="1"/>
  <c r="M493" i="5"/>
  <c r="M495" i="5" s="1"/>
  <c r="M938" i="5"/>
  <c r="M943" i="5" s="1"/>
  <c r="J47" i="5"/>
  <c r="J547" i="5"/>
  <c r="J549" i="5" s="1"/>
  <c r="L295" i="5"/>
  <c r="O295" i="5" s="1"/>
  <c r="P295" i="5" s="1"/>
  <c r="H749" i="5"/>
  <c r="J749" i="5" s="1"/>
  <c r="J750" i="5" s="1"/>
  <c r="J752" i="5" s="1"/>
  <c r="G17" i="16" s="1"/>
  <c r="I749" i="5"/>
  <c r="I789" i="5"/>
  <c r="H789" i="5"/>
  <c r="J789" i="5" s="1"/>
  <c r="J790" i="5" s="1"/>
  <c r="J792" i="5" s="1"/>
  <c r="G20" i="16" s="1"/>
  <c r="L825" i="5"/>
  <c r="O825" i="5" s="1"/>
  <c r="K825" i="5"/>
  <c r="L853" i="5"/>
  <c r="O853" i="5" s="1"/>
  <c r="K853" i="5"/>
  <c r="L890" i="5"/>
  <c r="O890" i="5" s="1"/>
  <c r="K890" i="5"/>
  <c r="G73" i="5"/>
  <c r="G898" i="5"/>
  <c r="G900" i="5" s="1"/>
  <c r="M36" i="5"/>
  <c r="M652" i="5"/>
  <c r="M654" i="5" s="1"/>
  <c r="M770" i="5"/>
  <c r="M772" i="5" s="1"/>
  <c r="J522" i="5"/>
  <c r="J524" i="5" s="1"/>
  <c r="L896" i="5"/>
  <c r="H940" i="5"/>
  <c r="I754" i="5"/>
  <c r="H754" i="5"/>
  <c r="N754" i="5" s="1"/>
  <c r="H795" i="5"/>
  <c r="H797" i="5" s="1"/>
  <c r="K831" i="5"/>
  <c r="K833" i="5" s="1"/>
  <c r="N830" i="5"/>
  <c r="K854" i="5"/>
  <c r="L854" i="5"/>
  <c r="O854" i="5" s="1"/>
  <c r="M896" i="5"/>
  <c r="K898" i="5"/>
  <c r="K900" i="5" s="1"/>
  <c r="M159" i="5"/>
  <c r="M161" i="5" s="1"/>
  <c r="M386" i="5"/>
  <c r="M388" i="5" s="1"/>
  <c r="M616" i="5"/>
  <c r="M618" i="5" s="1"/>
  <c r="J153" i="5"/>
  <c r="J155" i="5" s="1"/>
  <c r="J826" i="5"/>
  <c r="J828" i="5" s="1"/>
  <c r="J872" i="5"/>
  <c r="J874" i="5" s="1"/>
  <c r="O908" i="5"/>
  <c r="O909" i="5" s="1"/>
  <c r="O911" i="5" s="1"/>
  <c r="I744" i="5"/>
  <c r="J744" i="5" s="1"/>
  <c r="J745" i="5" s="1"/>
  <c r="J747" i="5" s="1"/>
  <c r="G31" i="15" s="1"/>
  <c r="P25" i="5"/>
  <c r="P387" i="5"/>
  <c r="M705" i="5"/>
  <c r="M707" i="5" s="1"/>
  <c r="M953" i="5"/>
  <c r="J424" i="5"/>
  <c r="J426" i="5" s="1"/>
  <c r="J493" i="5"/>
  <c r="J495" i="5" s="1"/>
  <c r="J922" i="5"/>
  <c r="P56" i="5"/>
  <c r="P70" i="5"/>
  <c r="P139" i="5"/>
  <c r="P949" i="5"/>
  <c r="P972" i="5"/>
  <c r="P14" i="5"/>
  <c r="J646" i="5"/>
  <c r="J648" i="5" s="1"/>
  <c r="J664" i="5"/>
  <c r="J666" i="5" s="1"/>
  <c r="P741" i="5"/>
  <c r="I57" i="5"/>
  <c r="L955" i="5"/>
  <c r="L330" i="5"/>
  <c r="L332" i="5" s="1"/>
  <c r="N804" i="5"/>
  <c r="N794" i="5"/>
  <c r="N766" i="5"/>
  <c r="P766" i="5" s="1"/>
  <c r="J704" i="5"/>
  <c r="J686" i="5"/>
  <c r="J687" i="5" s="1"/>
  <c r="J689" i="5" s="1"/>
  <c r="G14" i="15" s="1"/>
  <c r="P114" i="5"/>
  <c r="J132" i="5"/>
  <c r="J120" i="5"/>
  <c r="J114" i="5"/>
  <c r="J9" i="5"/>
  <c r="J13" i="5" s="1"/>
  <c r="N504" i="5"/>
  <c r="P366" i="5"/>
  <c r="P932" i="5"/>
  <c r="P954" i="5"/>
  <c r="L9" i="14" l="1"/>
  <c r="K9" i="14"/>
  <c r="D57" i="13"/>
  <c r="D40" i="13" s="1"/>
  <c r="F57" i="13"/>
  <c r="F40" i="13" s="1"/>
  <c r="N625" i="5"/>
  <c r="E632" i="5"/>
  <c r="F632" i="5"/>
  <c r="N603" i="5"/>
  <c r="G202" i="5"/>
  <c r="G158" i="5"/>
  <c r="F52" i="5"/>
  <c r="F57" i="5" s="1"/>
  <c r="G970" i="5"/>
  <c r="G971" i="5" s="1"/>
  <c r="G976" i="5" s="1"/>
  <c r="E403" i="5"/>
  <c r="E405" i="5" s="1"/>
  <c r="N61" i="5"/>
  <c r="P61" i="5" s="1"/>
  <c r="G402" i="5"/>
  <c r="G403" i="5" s="1"/>
  <c r="G405" i="5" s="1"/>
  <c r="G38" i="12" s="1"/>
  <c r="D29" i="15"/>
  <c r="E66" i="12"/>
  <c r="D29" i="16"/>
  <c r="F78" i="12"/>
  <c r="F27" i="13" s="1"/>
  <c r="E39" i="17"/>
  <c r="D42" i="12"/>
  <c r="D23" i="13" s="1"/>
  <c r="D24" i="18"/>
  <c r="D41" i="16"/>
  <c r="D40" i="17"/>
  <c r="D25" i="15"/>
  <c r="D17" i="15"/>
  <c r="D67" i="12"/>
  <c r="D26" i="13" s="1"/>
  <c r="D21" i="16"/>
  <c r="D57" i="12"/>
  <c r="D25" i="13" s="1"/>
  <c r="D78" i="12"/>
  <c r="D27" i="13" s="1"/>
  <c r="D20" i="12"/>
  <c r="D22" i="13" s="1"/>
  <c r="D34" i="17"/>
  <c r="D22" i="14"/>
  <c r="D36" i="13" s="1"/>
  <c r="D22" i="18" s="1"/>
  <c r="N498" i="5"/>
  <c r="P498" i="5" s="1"/>
  <c r="D11" i="15"/>
  <c r="F27" i="5"/>
  <c r="F29" i="5" s="1"/>
  <c r="G607" i="5"/>
  <c r="G166" i="5"/>
  <c r="G420" i="5"/>
  <c r="P152" i="5"/>
  <c r="D19" i="14"/>
  <c r="D8" i="13"/>
  <c r="D14" i="16"/>
  <c r="P545" i="5"/>
  <c r="G146" i="5"/>
  <c r="G147" i="5" s="1"/>
  <c r="G149" i="5" s="1"/>
  <c r="G9" i="14" s="1"/>
  <c r="E9" i="14" s="1"/>
  <c r="D18" i="17"/>
  <c r="D17" i="13" s="1"/>
  <c r="E38" i="17"/>
  <c r="O970" i="5"/>
  <c r="O971" i="5" s="1"/>
  <c r="F33" i="16"/>
  <c r="F22" i="14"/>
  <c r="F29" i="14" s="1"/>
  <c r="G35" i="5"/>
  <c r="F11" i="15"/>
  <c r="F9" i="18" s="1"/>
  <c r="F29" i="15"/>
  <c r="F34" i="17"/>
  <c r="F20" i="12"/>
  <c r="F22" i="13" s="1"/>
  <c r="F29" i="16"/>
  <c r="F42" i="12"/>
  <c r="F23" i="13" s="1"/>
  <c r="F454" i="5"/>
  <c r="F456" i="5" s="1"/>
  <c r="F25" i="18"/>
  <c r="F40" i="17"/>
  <c r="F25" i="15"/>
  <c r="F24" i="18"/>
  <c r="F41" i="16"/>
  <c r="F18" i="17"/>
  <c r="F17" i="13" s="1"/>
  <c r="F67" i="12"/>
  <c r="F26" i="13" s="1"/>
  <c r="F17" i="15"/>
  <c r="F57" i="12"/>
  <c r="F25" i="13" s="1"/>
  <c r="E459" i="5"/>
  <c r="E461" i="5" s="1"/>
  <c r="F562" i="5"/>
  <c r="F564" i="5" s="1"/>
  <c r="F8" i="13"/>
  <c r="F19" i="13" s="1"/>
  <c r="F8" i="18" s="1"/>
  <c r="F19" i="14"/>
  <c r="F14" i="16"/>
  <c r="F10" i="18" s="1"/>
  <c r="F21" i="16"/>
  <c r="N85" i="5"/>
  <c r="P85" i="5" s="1"/>
  <c r="F429" i="5"/>
  <c r="F431" i="5" s="1"/>
  <c r="G673" i="5"/>
  <c r="G490" i="5"/>
  <c r="G504" i="5"/>
  <c r="G505" i="5" s="1"/>
  <c r="G507" i="5" s="1"/>
  <c r="G12" i="12" s="1"/>
  <c r="E12" i="12" s="1"/>
  <c r="E527" i="5"/>
  <c r="E529" i="5" s="1"/>
  <c r="G537" i="5"/>
  <c r="P584" i="5"/>
  <c r="G83" i="5"/>
  <c r="P626" i="5"/>
  <c r="S626" i="5" s="1"/>
  <c r="N146" i="5"/>
  <c r="N147" i="5" s="1"/>
  <c r="N149" i="5" s="1"/>
  <c r="P583" i="5"/>
  <c r="P582" i="5"/>
  <c r="P96" i="5"/>
  <c r="P606" i="5"/>
  <c r="G201" i="5"/>
  <c r="P627" i="5"/>
  <c r="N396" i="5"/>
  <c r="P396" i="5" s="1"/>
  <c r="P99" i="5"/>
  <c r="P918" i="5"/>
  <c r="E20" i="16"/>
  <c r="G152" i="5"/>
  <c r="G163" i="5"/>
  <c r="O370" i="5"/>
  <c r="O372" i="5" s="1"/>
  <c r="I37" i="16"/>
  <c r="H19" i="18"/>
  <c r="H27" i="18" s="1"/>
  <c r="E358" i="5"/>
  <c r="E360" i="5" s="1"/>
  <c r="F358" i="5"/>
  <c r="F360" i="5" s="1"/>
  <c r="O892" i="5"/>
  <c r="O894" i="5" s="1"/>
  <c r="L892" i="5"/>
  <c r="L894" i="5" s="1"/>
  <c r="M886" i="5"/>
  <c r="K892" i="5"/>
  <c r="K894" i="5" s="1"/>
  <c r="K856" i="5"/>
  <c r="K858" i="5" s="1"/>
  <c r="O856" i="5"/>
  <c r="O858" i="5" s="1"/>
  <c r="L856" i="5"/>
  <c r="L858" i="5" s="1"/>
  <c r="M334" i="5"/>
  <c r="L337" i="5"/>
  <c r="L339" i="5" s="1"/>
  <c r="K298" i="5"/>
  <c r="K300" i="5" s="1"/>
  <c r="L298" i="5"/>
  <c r="L300" i="5" s="1"/>
  <c r="E586" i="5"/>
  <c r="E588" i="5" s="1"/>
  <c r="F586" i="5"/>
  <c r="F588" i="5" s="1"/>
  <c r="E610" i="5"/>
  <c r="E612" i="5" s="1"/>
  <c r="N9" i="5"/>
  <c r="P9" i="5" s="1"/>
  <c r="G526" i="5"/>
  <c r="G527" i="5" s="1"/>
  <c r="G529" i="5" s="1"/>
  <c r="E211" i="5"/>
  <c r="E213" i="5" s="1"/>
  <c r="E167" i="5"/>
  <c r="E169" i="5" s="1"/>
  <c r="G207" i="5"/>
  <c r="F211" i="5"/>
  <c r="F213" i="5" s="1"/>
  <c r="M302" i="5"/>
  <c r="L305" i="5"/>
  <c r="L307" i="5" s="1"/>
  <c r="E13" i="5"/>
  <c r="E24" i="5" s="1"/>
  <c r="J764" i="5"/>
  <c r="J779" i="5"/>
  <c r="J780" i="5" s="1"/>
  <c r="J782" i="5" s="1"/>
  <c r="G24" i="16" s="1"/>
  <c r="G418" i="5"/>
  <c r="J701" i="5"/>
  <c r="J719" i="5"/>
  <c r="J720" i="5" s="1"/>
  <c r="J722" i="5" s="1"/>
  <c r="M830" i="5"/>
  <c r="M831" i="5" s="1"/>
  <c r="M833" i="5" s="1"/>
  <c r="G390" i="5"/>
  <c r="G392" i="5" s="1"/>
  <c r="G394" i="5" s="1"/>
  <c r="G26" i="12" s="1"/>
  <c r="G546" i="5"/>
  <c r="G663" i="5"/>
  <c r="G433" i="5"/>
  <c r="G434" i="5" s="1"/>
  <c r="G436" i="5" s="1"/>
  <c r="G25" i="12" s="1"/>
  <c r="G480" i="5"/>
  <c r="J784" i="5"/>
  <c r="J785" i="5" s="1"/>
  <c r="J787" i="5" s="1"/>
  <c r="P21" i="5"/>
  <c r="M21" i="5"/>
  <c r="P850" i="5"/>
  <c r="M850" i="5"/>
  <c r="J814" i="5"/>
  <c r="J815" i="5" s="1"/>
  <c r="J817" i="5" s="1"/>
  <c r="J809" i="5"/>
  <c r="J810" i="5" s="1"/>
  <c r="J812" i="5" s="1"/>
  <c r="G31" i="16" s="1"/>
  <c r="J714" i="5"/>
  <c r="J715" i="5" s="1"/>
  <c r="J717" i="5" s="1"/>
  <c r="G20" i="15" s="1"/>
  <c r="E14" i="15"/>
  <c r="G423" i="5"/>
  <c r="G582" i="5"/>
  <c r="G668" i="5"/>
  <c r="G669" i="5" s="1"/>
  <c r="G671" i="5" s="1"/>
  <c r="G70" i="12" s="1"/>
  <c r="G55" i="13" s="1"/>
  <c r="G492" i="5"/>
  <c r="G514" i="5"/>
  <c r="G515" i="5" s="1"/>
  <c r="G517" i="5" s="1"/>
  <c r="G9" i="12" s="1"/>
  <c r="G51" i="13" s="1"/>
  <c r="G626" i="5"/>
  <c r="G458" i="5"/>
  <c r="G459" i="5" s="1"/>
  <c r="G461" i="5" s="1"/>
  <c r="P598" i="5"/>
  <c r="S598" i="5" s="1"/>
  <c r="G521" i="5"/>
  <c r="M141" i="5"/>
  <c r="M289" i="5"/>
  <c r="G464" i="5"/>
  <c r="M291" i="5"/>
  <c r="E8" i="15"/>
  <c r="O142" i="5"/>
  <c r="N367" i="5"/>
  <c r="P367" i="5" s="1"/>
  <c r="J64" i="5"/>
  <c r="N567" i="5"/>
  <c r="P567" i="5" s="1"/>
  <c r="N202" i="5"/>
  <c r="P202" i="5" s="1"/>
  <c r="P86" i="5"/>
  <c r="J126" i="5"/>
  <c r="J128" i="5"/>
  <c r="N852" i="5"/>
  <c r="P852" i="5" s="1"/>
  <c r="I785" i="5"/>
  <c r="I787" i="5" s="1"/>
  <c r="G51" i="5"/>
  <c r="G52" i="5" s="1"/>
  <c r="G57" i="5" s="1"/>
  <c r="N544" i="5"/>
  <c r="P544" i="5" s="1"/>
  <c r="G97" i="5"/>
  <c r="G96" i="5"/>
  <c r="E52" i="5"/>
  <c r="E57" i="5" s="1"/>
  <c r="H227" i="5"/>
  <c r="H229" i="5" s="1"/>
  <c r="G448" i="5"/>
  <c r="G449" i="5" s="1"/>
  <c r="G451" i="5" s="1"/>
  <c r="N629" i="5"/>
  <c r="P629" i="5" s="1"/>
  <c r="M46" i="5"/>
  <c r="P769" i="5"/>
  <c r="N453" i="5"/>
  <c r="N454" i="5" s="1"/>
  <c r="N456" i="5" s="1"/>
  <c r="J241" i="5"/>
  <c r="J242" i="5" s="1"/>
  <c r="J244" i="5" s="1"/>
  <c r="G40" i="16" s="1"/>
  <c r="M282" i="5"/>
  <c r="E195" i="5"/>
  <c r="E197" i="5" s="1"/>
  <c r="N886" i="5"/>
  <c r="N542" i="5"/>
  <c r="P542" i="5" s="1"/>
  <c r="S542" i="5" s="1"/>
  <c r="N962" i="5"/>
  <c r="P962" i="5" s="1"/>
  <c r="O458" i="5"/>
  <c r="O459" i="5" s="1"/>
  <c r="O461" i="5" s="1"/>
  <c r="N226" i="5"/>
  <c r="P226" i="5" s="1"/>
  <c r="G545" i="5"/>
  <c r="G583" i="5"/>
  <c r="E454" i="5"/>
  <c r="E456" i="5" s="1"/>
  <c r="E36" i="12" s="1"/>
  <c r="M71" i="5"/>
  <c r="M955" i="5"/>
  <c r="P84" i="5"/>
  <c r="G221" i="5"/>
  <c r="G222" i="5" s="1"/>
  <c r="G224" i="5" s="1"/>
  <c r="G28" i="14" s="1"/>
  <c r="L142" i="5"/>
  <c r="L144" i="5" s="1"/>
  <c r="I30" i="13"/>
  <c r="J794" i="5"/>
  <c r="J795" i="5" s="1"/>
  <c r="J797" i="5" s="1"/>
  <c r="O705" i="5"/>
  <c r="O707" i="5" s="1"/>
  <c r="M288" i="5"/>
  <c r="N593" i="5"/>
  <c r="P593" i="5" s="1"/>
  <c r="J136" i="5"/>
  <c r="I795" i="5"/>
  <c r="I797" i="5" s="1"/>
  <c r="O830" i="5"/>
  <c r="O831" i="5" s="1"/>
  <c r="O833" i="5" s="1"/>
  <c r="P133" i="5"/>
  <c r="N889" i="5"/>
  <c r="P889" i="5" s="1"/>
  <c r="G627" i="5"/>
  <c r="P216" i="5"/>
  <c r="G102" i="5"/>
  <c r="M140" i="5"/>
  <c r="N40" i="5"/>
  <c r="P40" i="5" s="1"/>
  <c r="N166" i="5"/>
  <c r="P166" i="5" s="1"/>
  <c r="K142" i="5"/>
  <c r="K144" i="5" s="1"/>
  <c r="I19" i="18"/>
  <c r="I27" i="18" s="1"/>
  <c r="I29" i="18" s="1"/>
  <c r="E28" i="18" s="1"/>
  <c r="I33" i="15"/>
  <c r="I37" i="15" s="1"/>
  <c r="M292" i="5"/>
  <c r="G598" i="5"/>
  <c r="G604" i="5"/>
  <c r="N472" i="5"/>
  <c r="P472" i="5" s="1"/>
  <c r="N663" i="5"/>
  <c r="P663" i="5" s="1"/>
  <c r="P235" i="5"/>
  <c r="R235" i="5" s="1"/>
  <c r="S235" i="5" s="1"/>
  <c r="H705" i="5"/>
  <c r="H707" i="5" s="1"/>
  <c r="P952" i="5"/>
  <c r="R952" i="5" s="1"/>
  <c r="T952" i="5" s="1"/>
  <c r="E398" i="5"/>
  <c r="E400" i="5" s="1"/>
  <c r="P824" i="5"/>
  <c r="O71" i="5"/>
  <c r="O73" i="5" s="1"/>
  <c r="P921" i="5"/>
  <c r="M294" i="5"/>
  <c r="G86" i="5"/>
  <c r="M45" i="5"/>
  <c r="P182" i="5"/>
  <c r="N397" i="5"/>
  <c r="P397" i="5" s="1"/>
  <c r="G661" i="5"/>
  <c r="M824" i="5"/>
  <c r="N719" i="5"/>
  <c r="N720" i="5" s="1"/>
  <c r="N722" i="5" s="1"/>
  <c r="G538" i="5"/>
  <c r="J260" i="5"/>
  <c r="K842" i="5"/>
  <c r="K844" i="5" s="1"/>
  <c r="N423" i="5"/>
  <c r="P423" i="5" s="1"/>
  <c r="G584" i="5"/>
  <c r="G916" i="5"/>
  <c r="G947" i="5"/>
  <c r="M841" i="5"/>
  <c r="M842" i="5" s="1"/>
  <c r="M844" i="5" s="1"/>
  <c r="J765" i="5"/>
  <c r="J65" i="5"/>
  <c r="M897" i="5"/>
  <c r="M898" i="5" s="1"/>
  <c r="M900" i="5" s="1"/>
  <c r="G915" i="5"/>
  <c r="J135" i="5"/>
  <c r="P947" i="5"/>
  <c r="U947" i="5" s="1"/>
  <c r="N478" i="5"/>
  <c r="P478" i="5" s="1"/>
  <c r="N194" i="5"/>
  <c r="O664" i="5"/>
  <c r="O666" i="5" s="1"/>
  <c r="P926" i="5"/>
  <c r="N428" i="5"/>
  <c r="P428" i="5" s="1"/>
  <c r="G348" i="5"/>
  <c r="N369" i="5"/>
  <c r="P369" i="5" s="1"/>
  <c r="P233" i="5"/>
  <c r="R233" i="5" s="1"/>
  <c r="S233" i="5" s="1"/>
  <c r="J232" i="5"/>
  <c r="J950" i="5"/>
  <c r="J235" i="5"/>
  <c r="E429" i="5"/>
  <c r="E431" i="5" s="1"/>
  <c r="E32" i="12" s="1"/>
  <c r="G385" i="5"/>
  <c r="G386" i="5" s="1"/>
  <c r="G388" i="5" s="1"/>
  <c r="G23" i="12" s="1"/>
  <c r="O195" i="5"/>
  <c r="O197" i="5" s="1"/>
  <c r="G937" i="5"/>
  <c r="P141" i="5"/>
  <c r="P142" i="5" s="1"/>
  <c r="P174" i="5"/>
  <c r="J272" i="5"/>
  <c r="F195" i="5"/>
  <c r="F197" i="5" s="1"/>
  <c r="G921" i="5"/>
  <c r="P234" i="5"/>
  <c r="R234" i="5" s="1"/>
  <c r="S234" i="5" s="1"/>
  <c r="G918" i="5"/>
  <c r="M295" i="5"/>
  <c r="O526" i="5"/>
  <c r="O527" i="5" s="1"/>
  <c r="O529" i="5" s="1"/>
  <c r="N142" i="5"/>
  <c r="N158" i="5"/>
  <c r="P353" i="5"/>
  <c r="N631" i="5"/>
  <c r="P631" i="5" s="1"/>
  <c r="J16" i="5"/>
  <c r="G26" i="5"/>
  <c r="G27" i="5" s="1"/>
  <c r="G29" i="5" s="1"/>
  <c r="E493" i="5"/>
  <c r="E495" i="5" s="1"/>
  <c r="F403" i="5"/>
  <c r="F405" i="5" s="1"/>
  <c r="O22" i="5"/>
  <c r="J702" i="5"/>
  <c r="N702" i="5"/>
  <c r="P702" i="5" s="1"/>
  <c r="E676" i="5"/>
  <c r="E678" i="5" s="1"/>
  <c r="J66" i="5"/>
  <c r="N72" i="5"/>
  <c r="P72" i="5" s="1"/>
  <c r="O201" i="5"/>
  <c r="P201" i="5" s="1"/>
  <c r="M293" i="5"/>
  <c r="K330" i="5"/>
  <c r="K332" i="5" s="1"/>
  <c r="G349" i="5"/>
  <c r="N492" i="5"/>
  <c r="P492" i="5" s="1"/>
  <c r="S492" i="5" s="1"/>
  <c r="G645" i="5"/>
  <c r="M329" i="5"/>
  <c r="M330" i="5" s="1"/>
  <c r="M332" i="5" s="1"/>
  <c r="G17" i="17" s="1"/>
  <c r="E17" i="17" s="1"/>
  <c r="G499" i="5"/>
  <c r="J117" i="5"/>
  <c r="F664" i="5"/>
  <c r="F666" i="5" s="1"/>
  <c r="G398" i="5"/>
  <c r="G400" i="5" s="1"/>
  <c r="G40" i="12" s="1"/>
  <c r="M72" i="5"/>
  <c r="N915" i="5"/>
  <c r="P915" i="5" s="1"/>
  <c r="N871" i="5"/>
  <c r="P871" i="5" s="1"/>
  <c r="S871" i="5" s="1"/>
  <c r="N26" i="5"/>
  <c r="N27" i="5" s="1"/>
  <c r="N29" i="5" s="1"/>
  <c r="N541" i="5"/>
  <c r="P541" i="5" s="1"/>
  <c r="I815" i="5"/>
  <c r="I817" i="5" s="1"/>
  <c r="N193" i="5"/>
  <c r="G193" i="5"/>
  <c r="G99" i="5"/>
  <c r="E370" i="5"/>
  <c r="E372" i="5" s="1"/>
  <c r="G216" i="5"/>
  <c r="G606" i="5"/>
  <c r="N108" i="5"/>
  <c r="P108" i="5" s="1"/>
  <c r="E664" i="5"/>
  <c r="E666" i="5" s="1"/>
  <c r="P354" i="5"/>
  <c r="N908" i="5"/>
  <c r="N909" i="5" s="1"/>
  <c r="N911" i="5" s="1"/>
  <c r="J127" i="5"/>
  <c r="P119" i="5"/>
  <c r="M835" i="5"/>
  <c r="N835" i="5"/>
  <c r="P835" i="5" s="1"/>
  <c r="K909" i="5"/>
  <c r="K911" i="5" s="1"/>
  <c r="E20" i="17" s="1"/>
  <c r="E56" i="13" s="1"/>
  <c r="P121" i="5"/>
  <c r="N546" i="5"/>
  <c r="P546" i="5" s="1"/>
  <c r="G628" i="5"/>
  <c r="O13" i="5"/>
  <c r="J109" i="5"/>
  <c r="P645" i="5"/>
  <c r="P115" i="5"/>
  <c r="N974" i="5"/>
  <c r="N725" i="5"/>
  <c r="N727" i="5" s="1"/>
  <c r="N755" i="5"/>
  <c r="N757" i="5" s="1"/>
  <c r="P799" i="5"/>
  <c r="N800" i="5"/>
  <c r="N802" i="5" s="1"/>
  <c r="M890" i="5"/>
  <c r="N890" i="5"/>
  <c r="P890" i="5" s="1"/>
  <c r="N256" i="5"/>
  <c r="H262" i="5"/>
  <c r="H264" i="5" s="1"/>
  <c r="P902" i="5"/>
  <c r="M823" i="5"/>
  <c r="N823" i="5"/>
  <c r="P823" i="5" s="1"/>
  <c r="S823" i="5" s="1"/>
  <c r="M860" i="5"/>
  <c r="M861" i="5" s="1"/>
  <c r="M863" i="5" s="1"/>
  <c r="G26" i="17" s="1"/>
  <c r="K861" i="5"/>
  <c r="K863" i="5" s="1"/>
  <c r="N860" i="5"/>
  <c r="N134" i="5"/>
  <c r="P134" i="5" s="1"/>
  <c r="J134" i="5"/>
  <c r="F473" i="5"/>
  <c r="F475" i="5" s="1"/>
  <c r="O469" i="5"/>
  <c r="O473" i="5" s="1"/>
  <c r="O475" i="5" s="1"/>
  <c r="E481" i="5"/>
  <c r="E483" i="5" s="1"/>
  <c r="G477" i="5"/>
  <c r="N477" i="5"/>
  <c r="F398" i="5"/>
  <c r="F400" i="5" s="1"/>
  <c r="O396" i="5"/>
  <c r="O398" i="5" s="1"/>
  <c r="O400" i="5" s="1"/>
  <c r="N95" i="5"/>
  <c r="P95" i="5" s="1"/>
  <c r="G95" i="5"/>
  <c r="J68" i="5"/>
  <c r="P759" i="5"/>
  <c r="G408" i="5"/>
  <c r="O789" i="5"/>
  <c r="O790" i="5" s="1"/>
  <c r="O792" i="5" s="1"/>
  <c r="I790" i="5"/>
  <c r="I792" i="5" s="1"/>
  <c r="G581" i="5"/>
  <c r="N581" i="5"/>
  <c r="N586" i="5" s="1"/>
  <c r="O374" i="5"/>
  <c r="O375" i="5" s="1"/>
  <c r="O377" i="5" s="1"/>
  <c r="F375" i="5"/>
  <c r="F377" i="5" s="1"/>
  <c r="O572" i="5"/>
  <c r="O573" i="5" s="1"/>
  <c r="O575" i="5" s="1"/>
  <c r="F573" i="5"/>
  <c r="F575" i="5" s="1"/>
  <c r="I953" i="5"/>
  <c r="I955" i="5" s="1"/>
  <c r="O950" i="5"/>
  <c r="O953" i="5" s="1"/>
  <c r="N609" i="5"/>
  <c r="P609" i="5" s="1"/>
  <c r="G609" i="5"/>
  <c r="N384" i="5"/>
  <c r="E386" i="5"/>
  <c r="E388" i="5" s="1"/>
  <c r="N93" i="5"/>
  <c r="P93" i="5" s="1"/>
  <c r="G93" i="5"/>
  <c r="N35" i="5"/>
  <c r="P35" i="5" s="1"/>
  <c r="G354" i="5"/>
  <c r="P413" i="5"/>
  <c r="N414" i="5"/>
  <c r="N416" i="5" s="1"/>
  <c r="N958" i="5"/>
  <c r="P958" i="5" s="1"/>
  <c r="N116" i="5"/>
  <c r="P116" i="5" s="1"/>
  <c r="N232" i="5"/>
  <c r="P232" i="5" s="1"/>
  <c r="R232" i="5" s="1"/>
  <c r="S232" i="5" s="1"/>
  <c r="N272" i="5"/>
  <c r="P272" i="5" s="1"/>
  <c r="F610" i="5"/>
  <c r="F612" i="5" s="1"/>
  <c r="O603" i="5"/>
  <c r="E948" i="5"/>
  <c r="E955" i="5" s="1"/>
  <c r="N945" i="5"/>
  <c r="G945" i="5"/>
  <c r="O749" i="5"/>
  <c r="O750" i="5" s="1"/>
  <c r="O752" i="5" s="1"/>
  <c r="I750" i="5"/>
  <c r="I752" i="5" s="1"/>
  <c r="O581" i="5"/>
  <c r="G551" i="5"/>
  <c r="G552" i="5" s="1"/>
  <c r="G554" i="5" s="1"/>
  <c r="E552" i="5"/>
  <c r="E554" i="5" s="1"/>
  <c r="G374" i="5"/>
  <c r="G375" i="5" s="1"/>
  <c r="G377" i="5" s="1"/>
  <c r="G33" i="12" s="1"/>
  <c r="E375" i="5"/>
  <c r="E377" i="5" s="1"/>
  <c r="N137" i="5"/>
  <c r="P137" i="5" s="1"/>
  <c r="J137" i="5"/>
  <c r="H69" i="5"/>
  <c r="H75" i="5" s="1"/>
  <c r="O686" i="5"/>
  <c r="O687" i="5" s="1"/>
  <c r="O689" i="5" s="1"/>
  <c r="I687" i="5"/>
  <c r="I689" i="5" s="1"/>
  <c r="N821" i="5"/>
  <c r="P821" i="5" s="1"/>
  <c r="M821" i="5"/>
  <c r="O764" i="5"/>
  <c r="O770" i="5" s="1"/>
  <c r="O772" i="5" s="1"/>
  <c r="I770" i="5"/>
  <c r="I772" i="5" s="1"/>
  <c r="G413" i="5"/>
  <c r="G414" i="5" s="1"/>
  <c r="G416" i="5" s="1"/>
  <c r="E414" i="5"/>
  <c r="E416" i="5" s="1"/>
  <c r="N362" i="5"/>
  <c r="E363" i="5"/>
  <c r="E365" i="5" s="1"/>
  <c r="E27" i="12" s="1"/>
  <c r="N351" i="5"/>
  <c r="P351" i="5" s="1"/>
  <c r="G351" i="5"/>
  <c r="G917" i="5"/>
  <c r="N917" i="5"/>
  <c r="P917" i="5" s="1"/>
  <c r="J774" i="5"/>
  <c r="J775" i="5" s="1"/>
  <c r="J777" i="5" s="1"/>
  <c r="G32" i="16" s="1"/>
  <c r="H775" i="5"/>
  <c r="H777" i="5" s="1"/>
  <c r="N950" i="5"/>
  <c r="H953" i="5"/>
  <c r="H955" i="5" s="1"/>
  <c r="O231" i="5"/>
  <c r="O237" i="5" s="1"/>
  <c r="O239" i="5" s="1"/>
  <c r="I237" i="5"/>
  <c r="I239" i="5" s="1"/>
  <c r="O904" i="5"/>
  <c r="O906" i="5" s="1"/>
  <c r="O734" i="5"/>
  <c r="O735" i="5" s="1"/>
  <c r="O737" i="5" s="1"/>
  <c r="I735" i="5"/>
  <c r="I737" i="5" s="1"/>
  <c r="L310" i="5"/>
  <c r="L312" i="5" s="1"/>
  <c r="E13" i="17" s="1"/>
  <c r="O309" i="5"/>
  <c r="O310" i="5" s="1"/>
  <c r="O312" i="5" s="1"/>
  <c r="P117" i="5"/>
  <c r="N970" i="5"/>
  <c r="E971" i="5"/>
  <c r="E976" i="5" s="1"/>
  <c r="L877" i="5"/>
  <c r="L879" i="5" s="1"/>
  <c r="O876" i="5"/>
  <c r="O877" i="5" s="1"/>
  <c r="O879" i="5" s="1"/>
  <c r="O384" i="5"/>
  <c r="O386" i="5" s="1"/>
  <c r="O388" i="5" s="1"/>
  <c r="F386" i="5"/>
  <c r="F388" i="5" s="1"/>
  <c r="N288" i="5"/>
  <c r="G34" i="5"/>
  <c r="N34" i="5"/>
  <c r="P34" i="5" s="1"/>
  <c r="F510" i="5"/>
  <c r="F512" i="5" s="1"/>
  <c r="O509" i="5"/>
  <c r="O510" i="5" s="1"/>
  <c r="O512" i="5" s="1"/>
  <c r="E599" i="5"/>
  <c r="E601" i="5" s="1"/>
  <c r="N590" i="5"/>
  <c r="G590" i="5"/>
  <c r="N595" i="5"/>
  <c r="P595" i="5" s="1"/>
  <c r="G595" i="5"/>
  <c r="N296" i="5"/>
  <c r="P296" i="5" s="1"/>
  <c r="M296" i="5"/>
  <c r="E175" i="5"/>
  <c r="E177" i="5" s="1"/>
  <c r="G171" i="5"/>
  <c r="N171" i="5"/>
  <c r="O744" i="5"/>
  <c r="O745" i="5" s="1"/>
  <c r="O747" i="5" s="1"/>
  <c r="I745" i="5"/>
  <c r="I747" i="5" s="1"/>
  <c r="E31" i="15" s="1"/>
  <c r="G594" i="5"/>
  <c r="N594" i="5"/>
  <c r="P594" i="5" s="1"/>
  <c r="J231" i="5"/>
  <c r="H237" i="5"/>
  <c r="H239" i="5" s="1"/>
  <c r="F370" i="5"/>
  <c r="F372" i="5" s="1"/>
  <c r="J129" i="5"/>
  <c r="N129" i="5"/>
  <c r="P129" i="5" s="1"/>
  <c r="N681" i="5"/>
  <c r="P681" i="5" s="1"/>
  <c r="N882" i="5"/>
  <c r="N884" i="5" s="1"/>
  <c r="P881" i="5"/>
  <c r="N764" i="5"/>
  <c r="H770" i="5"/>
  <c r="H772" i="5" s="1"/>
  <c r="O362" i="5"/>
  <c r="O363" i="5" s="1"/>
  <c r="O365" i="5" s="1"/>
  <c r="F363" i="5"/>
  <c r="F365" i="5" s="1"/>
  <c r="O774" i="5"/>
  <c r="O775" i="5" s="1"/>
  <c r="O777" i="5" s="1"/>
  <c r="I775" i="5"/>
  <c r="I777" i="5" s="1"/>
  <c r="O448" i="5"/>
  <c r="O449" i="5" s="1"/>
  <c r="O451" i="5" s="1"/>
  <c r="F449" i="5"/>
  <c r="F451" i="5" s="1"/>
  <c r="K47" i="5"/>
  <c r="K49" i="5" s="1"/>
  <c r="M43" i="5"/>
  <c r="N43" i="5"/>
  <c r="L904" i="5"/>
  <c r="L906" i="5" s="1"/>
  <c r="N352" i="5"/>
  <c r="P352" i="5" s="1"/>
  <c r="G352" i="5"/>
  <c r="E616" i="5"/>
  <c r="E618" i="5" s="1"/>
  <c r="N614" i="5"/>
  <c r="G614" i="5"/>
  <c r="N849" i="5"/>
  <c r="P849" i="5" s="1"/>
  <c r="M849" i="5"/>
  <c r="G94" i="5"/>
  <c r="N94" i="5"/>
  <c r="P94" i="5" s="1"/>
  <c r="N851" i="5"/>
  <c r="P851" i="5" s="1"/>
  <c r="M851" i="5"/>
  <c r="L826" i="5"/>
  <c r="L828" i="5" s="1"/>
  <c r="O819" i="5"/>
  <c r="O826" i="5" s="1"/>
  <c r="O828" i="5" s="1"/>
  <c r="F599" i="5"/>
  <c r="F601" i="5" s="1"/>
  <c r="O590" i="5"/>
  <c r="O599" i="5" s="1"/>
  <c r="O601" i="5" s="1"/>
  <c r="N768" i="5"/>
  <c r="P768" i="5" s="1"/>
  <c r="J768" i="5"/>
  <c r="G615" i="5"/>
  <c r="J233" i="5"/>
  <c r="F380" i="5"/>
  <c r="F382" i="5" s="1"/>
  <c r="O379" i="5"/>
  <c r="O380" i="5" s="1"/>
  <c r="O382" i="5" s="1"/>
  <c r="N67" i="5"/>
  <c r="P67" i="5" s="1"/>
  <c r="J67" i="5"/>
  <c r="M335" i="5"/>
  <c r="N335" i="5"/>
  <c r="I41" i="5"/>
  <c r="I49" i="5" s="1"/>
  <c r="O38" i="5"/>
  <c r="O41" i="5" s="1"/>
  <c r="J734" i="5"/>
  <c r="J735" i="5" s="1"/>
  <c r="J737" i="5" s="1"/>
  <c r="H735" i="5"/>
  <c r="H737" i="5" s="1"/>
  <c r="N310" i="5"/>
  <c r="N312" i="5" s="1"/>
  <c r="N936" i="5"/>
  <c r="P936" i="5" s="1"/>
  <c r="G936" i="5"/>
  <c r="G209" i="5"/>
  <c r="P105" i="5"/>
  <c r="N278" i="5"/>
  <c r="N280" i="5" s="1"/>
  <c r="N749" i="5"/>
  <c r="H750" i="5"/>
  <c r="H752" i="5" s="1"/>
  <c r="O551" i="5"/>
  <c r="O552" i="5" s="1"/>
  <c r="O554" i="5" s="1"/>
  <c r="F552" i="5"/>
  <c r="F554" i="5" s="1"/>
  <c r="N125" i="5"/>
  <c r="P125" i="5" s="1"/>
  <c r="J125" i="5"/>
  <c r="N914" i="5"/>
  <c r="P914" i="5" s="1"/>
  <c r="G914" i="5"/>
  <c r="H927" i="5"/>
  <c r="H933" i="5" s="1"/>
  <c r="N924" i="5"/>
  <c r="J924" i="5"/>
  <c r="O413" i="5"/>
  <c r="O414" i="5" s="1"/>
  <c r="O416" i="5" s="1"/>
  <c r="F414" i="5"/>
  <c r="F416" i="5" s="1"/>
  <c r="O69" i="5"/>
  <c r="G471" i="5"/>
  <c r="N471" i="5"/>
  <c r="P471" i="5" s="1"/>
  <c r="G540" i="5"/>
  <c r="N540" i="5"/>
  <c r="P540" i="5" s="1"/>
  <c r="O302" i="5"/>
  <c r="G350" i="5"/>
  <c r="N350" i="5"/>
  <c r="P350" i="5" s="1"/>
  <c r="S350" i="5" s="1"/>
  <c r="N847" i="5"/>
  <c r="P847" i="5" s="1"/>
  <c r="M847" i="5"/>
  <c r="O288" i="5"/>
  <c r="N81" i="5"/>
  <c r="P81" i="5" s="1"/>
  <c r="G81" i="5"/>
  <c r="P686" i="5"/>
  <c r="N687" i="5"/>
  <c r="N689" i="5" s="1"/>
  <c r="N90" i="5"/>
  <c r="P90" i="5" s="1"/>
  <c r="G90" i="5"/>
  <c r="M290" i="5"/>
  <c r="G84" i="5"/>
  <c r="N480" i="5"/>
  <c r="N543" i="5"/>
  <c r="P543" i="5" s="1"/>
  <c r="N592" i="5"/>
  <c r="P592" i="5" s="1"/>
  <c r="N916" i="5"/>
  <c r="P916" i="5" s="1"/>
  <c r="J115" i="5"/>
  <c r="J133" i="5"/>
  <c r="N831" i="5"/>
  <c r="N833" i="5" s="1"/>
  <c r="L898" i="5"/>
  <c r="L900" i="5" s="1"/>
  <c r="O896" i="5"/>
  <c r="O898" i="5" s="1"/>
  <c r="O900" i="5" s="1"/>
  <c r="N745" i="5"/>
  <c r="N747" i="5" s="1"/>
  <c r="M324" i="5"/>
  <c r="M325" i="5" s="1"/>
  <c r="M327" i="5" s="1"/>
  <c r="G10" i="17" s="1"/>
  <c r="K325" i="5"/>
  <c r="K327" i="5" s="1"/>
  <c r="N324" i="5"/>
  <c r="O714" i="5"/>
  <c r="I715" i="5"/>
  <c r="I717" i="5" s="1"/>
  <c r="G531" i="5"/>
  <c r="G532" i="5" s="1"/>
  <c r="G534" i="5" s="1"/>
  <c r="E532" i="5"/>
  <c r="E534" i="5" s="1"/>
  <c r="N531" i="5"/>
  <c r="N951" i="5"/>
  <c r="P951" i="5" s="1"/>
  <c r="R951" i="5" s="1"/>
  <c r="T951" i="5" s="1"/>
  <c r="J951" i="5"/>
  <c r="N347" i="5"/>
  <c r="P347" i="5" s="1"/>
  <c r="G347" i="5"/>
  <c r="M20" i="5"/>
  <c r="N20" i="5"/>
  <c r="P20" i="5" s="1"/>
  <c r="I927" i="5"/>
  <c r="I933" i="5" s="1"/>
  <c r="O924" i="5"/>
  <c r="O927" i="5" s="1"/>
  <c r="N668" i="5"/>
  <c r="E669" i="5"/>
  <c r="E671" i="5" s="1"/>
  <c r="N346" i="5"/>
  <c r="G346" i="5"/>
  <c r="N888" i="5"/>
  <c r="P888" i="5" s="1"/>
  <c r="M888" i="5"/>
  <c r="O217" i="5"/>
  <c r="O219" i="5" s="1"/>
  <c r="O650" i="5"/>
  <c r="O652" i="5" s="1"/>
  <c r="O654" i="5" s="1"/>
  <c r="F652" i="5"/>
  <c r="F654" i="5" s="1"/>
  <c r="N448" i="5"/>
  <c r="E449" i="5"/>
  <c r="E451" i="5" s="1"/>
  <c r="G194" i="5"/>
  <c r="L47" i="5"/>
  <c r="L49" i="5" s="1"/>
  <c r="O43" i="5"/>
  <c r="O47" i="5" s="1"/>
  <c r="G164" i="5"/>
  <c r="N164" i="5"/>
  <c r="P164" i="5" s="1"/>
  <c r="N470" i="5"/>
  <c r="P470" i="5" s="1"/>
  <c r="G470" i="5"/>
  <c r="O221" i="5"/>
  <c r="O222" i="5" s="1"/>
  <c r="O224" i="5" s="1"/>
  <c r="F222" i="5"/>
  <c r="F224" i="5" s="1"/>
  <c r="N258" i="5"/>
  <c r="P258" i="5" s="1"/>
  <c r="R258" i="5" s="1"/>
  <c r="S258" i="5" s="1"/>
  <c r="J258" i="5"/>
  <c r="O514" i="5"/>
  <c r="O515" i="5" s="1"/>
  <c r="O517" i="5" s="1"/>
  <c r="F515" i="5"/>
  <c r="F517" i="5" s="1"/>
  <c r="M319" i="5"/>
  <c r="M320" i="5" s="1"/>
  <c r="M322" i="5" s="1"/>
  <c r="G11" i="17" s="1"/>
  <c r="K320" i="5"/>
  <c r="K322" i="5" s="1"/>
  <c r="N319" i="5"/>
  <c r="N320" i="5" s="1"/>
  <c r="N322" i="5" s="1"/>
  <c r="K286" i="5"/>
  <c r="N282" i="5"/>
  <c r="N284" i="5" s="1"/>
  <c r="F616" i="5"/>
  <c r="F618" i="5" s="1"/>
  <c r="O614" i="5"/>
  <c r="O616" i="5" s="1"/>
  <c r="O618" i="5" s="1"/>
  <c r="J277" i="5"/>
  <c r="J278" i="5" s="1"/>
  <c r="J280" i="5" s="1"/>
  <c r="G13" i="16" s="1"/>
  <c r="H278" i="5"/>
  <c r="H280" i="5" s="1"/>
  <c r="J105" i="5"/>
  <c r="H138" i="5"/>
  <c r="H144" i="5" s="1"/>
  <c r="I963" i="5"/>
  <c r="I968" i="5" s="1"/>
  <c r="O961" i="5"/>
  <c r="O963" i="5" s="1"/>
  <c r="N307" i="5"/>
  <c r="N820" i="5"/>
  <c r="P820" i="5" s="1"/>
  <c r="M820" i="5"/>
  <c r="O251" i="5"/>
  <c r="O252" i="5" s="1"/>
  <c r="O254" i="5" s="1"/>
  <c r="I252" i="5"/>
  <c r="I254" i="5" s="1"/>
  <c r="G10" i="5"/>
  <c r="N10" i="5"/>
  <c r="P10" i="5" s="1"/>
  <c r="M54" i="5"/>
  <c r="M55" i="5" s="1"/>
  <c r="M57" i="5" s="1"/>
  <c r="K55" i="5"/>
  <c r="K57" i="5" s="1"/>
  <c r="N54" i="5"/>
  <c r="N491" i="5"/>
  <c r="P491" i="5" s="1"/>
  <c r="S491" i="5" s="1"/>
  <c r="G491" i="5"/>
  <c r="O556" i="5"/>
  <c r="O557" i="5" s="1"/>
  <c r="O559" i="5" s="1"/>
  <c r="F557" i="5"/>
  <c r="F559" i="5" s="1"/>
  <c r="P68" i="5"/>
  <c r="I262" i="5"/>
  <c r="I264" i="5" s="1"/>
  <c r="O256" i="5"/>
  <c r="O262" i="5" s="1"/>
  <c r="O264" i="5" s="1"/>
  <c r="N735" i="5"/>
  <c r="N737" i="5" s="1"/>
  <c r="N940" i="5"/>
  <c r="H941" i="5"/>
  <c r="H943" i="5" s="1"/>
  <c r="P784" i="5"/>
  <c r="N785" i="5"/>
  <c r="N787" i="5" s="1"/>
  <c r="G88" i="5"/>
  <c r="N88" i="5"/>
  <c r="P88" i="5" s="1"/>
  <c r="M903" i="5"/>
  <c r="M904" i="5" s="1"/>
  <c r="M906" i="5" s="1"/>
  <c r="N903" i="5"/>
  <c r="P903" i="5" s="1"/>
  <c r="F439" i="5"/>
  <c r="F441" i="5" s="1"/>
  <c r="O438" i="5"/>
  <c r="O439" i="5" s="1"/>
  <c r="O441" i="5" s="1"/>
  <c r="G597" i="5"/>
  <c r="N597" i="5"/>
  <c r="P597" i="5" s="1"/>
  <c r="S597" i="5" s="1"/>
  <c r="G421" i="5"/>
  <c r="N421" i="5"/>
  <c r="P421" i="5" s="1"/>
  <c r="M876" i="5"/>
  <c r="M877" i="5" s="1"/>
  <c r="M879" i="5" s="1"/>
  <c r="G21" i="17" s="1"/>
  <c r="K877" i="5"/>
  <c r="K879" i="5" s="1"/>
  <c r="N876" i="5"/>
  <c r="N231" i="5"/>
  <c r="P794" i="5"/>
  <c r="N795" i="5"/>
  <c r="N797" i="5" s="1"/>
  <c r="M854" i="5"/>
  <c r="N854" i="5"/>
  <c r="P854" i="5" s="1"/>
  <c r="F948" i="5"/>
  <c r="F955" i="5" s="1"/>
  <c r="O945" i="5"/>
  <c r="O948" i="5" s="1"/>
  <c r="L325" i="5"/>
  <c r="L327" i="5" s="1"/>
  <c r="O324" i="5"/>
  <c r="O325" i="5" s="1"/>
  <c r="O327" i="5" s="1"/>
  <c r="P814" i="5"/>
  <c r="S814" i="5" s="1"/>
  <c r="N815" i="5"/>
  <c r="N817" i="5" s="1"/>
  <c r="N591" i="5"/>
  <c r="P591" i="5" s="1"/>
  <c r="G591" i="5"/>
  <c r="N375" i="5"/>
  <c r="N377" i="5" s="1"/>
  <c r="N127" i="5"/>
  <c r="P127" i="5" s="1"/>
  <c r="J121" i="5"/>
  <c r="N692" i="5"/>
  <c r="N694" i="5" s="1"/>
  <c r="N805" i="5"/>
  <c r="N807" i="5" s="1"/>
  <c r="N919" i="5"/>
  <c r="P919" i="5" s="1"/>
  <c r="G919" i="5"/>
  <c r="H697" i="5"/>
  <c r="H699" i="5" s="1"/>
  <c r="N696" i="5"/>
  <c r="J696" i="5"/>
  <c r="J697" i="5" s="1"/>
  <c r="J699" i="5" s="1"/>
  <c r="G24" i="15" s="1"/>
  <c r="E510" i="5"/>
  <c r="E512" i="5" s="1"/>
  <c r="N509" i="5"/>
  <c r="G509" i="5"/>
  <c r="G510" i="5" s="1"/>
  <c r="G512" i="5" s="1"/>
  <c r="G19" i="12" s="1"/>
  <c r="N714" i="5"/>
  <c r="N715" i="5" s="1"/>
  <c r="N717" i="5" s="1"/>
  <c r="H715" i="5"/>
  <c r="H717" i="5" s="1"/>
  <c r="F532" i="5"/>
  <c r="F534" i="5" s="1"/>
  <c r="O531" i="5"/>
  <c r="O532" i="5" s="1"/>
  <c r="O534" i="5" s="1"/>
  <c r="N266" i="5"/>
  <c r="H267" i="5"/>
  <c r="H269" i="5" s="1"/>
  <c r="E12" i="16" s="1"/>
  <c r="I705" i="5"/>
  <c r="I707" i="5" s="1"/>
  <c r="J261" i="5"/>
  <c r="J113" i="5"/>
  <c r="N113" i="5"/>
  <c r="P113" i="5" s="1"/>
  <c r="P661" i="5"/>
  <c r="O504" i="5"/>
  <c r="O505" i="5" s="1"/>
  <c r="O507" i="5" s="1"/>
  <c r="F505" i="5"/>
  <c r="F507" i="5" s="1"/>
  <c r="O668" i="5"/>
  <c r="O669" i="5" s="1"/>
  <c r="O671" i="5" s="1"/>
  <c r="F669" i="5"/>
  <c r="F671" i="5" s="1"/>
  <c r="O346" i="5"/>
  <c r="K339" i="5"/>
  <c r="F217" i="5"/>
  <c r="F219" i="5" s="1"/>
  <c r="N650" i="5"/>
  <c r="E652" i="5"/>
  <c r="E654" i="5" s="1"/>
  <c r="G650" i="5"/>
  <c r="P16" i="5"/>
  <c r="N221" i="5"/>
  <c r="E222" i="5"/>
  <c r="E224" i="5" s="1"/>
  <c r="N514" i="5"/>
  <c r="E515" i="5"/>
  <c r="E517" i="5" s="1"/>
  <c r="L286" i="5"/>
  <c r="O282" i="5"/>
  <c r="O207" i="5"/>
  <c r="O211" i="5" s="1"/>
  <c r="N935" i="5"/>
  <c r="E938" i="5"/>
  <c r="E943" i="5" s="1"/>
  <c r="G935" i="5"/>
  <c r="O277" i="5"/>
  <c r="O278" i="5" s="1"/>
  <c r="O280" i="5" s="1"/>
  <c r="I278" i="5"/>
  <c r="I280" i="5" s="1"/>
  <c r="O105" i="5"/>
  <c r="O138" i="5" s="1"/>
  <c r="I138" i="5"/>
  <c r="I144" i="5" s="1"/>
  <c r="H963" i="5"/>
  <c r="H968" i="5" s="1"/>
  <c r="N961" i="5"/>
  <c r="J961" i="5"/>
  <c r="J963" i="5" s="1"/>
  <c r="J968" i="5" s="1"/>
  <c r="N469" i="5"/>
  <c r="E473" i="5"/>
  <c r="E475" i="5" s="1"/>
  <c r="K826" i="5"/>
  <c r="K828" i="5" s="1"/>
  <c r="N819" i="5"/>
  <c r="M819" i="5"/>
  <c r="G556" i="5"/>
  <c r="G557" i="5" s="1"/>
  <c r="G559" i="5" s="1"/>
  <c r="G61" i="12" s="1"/>
  <c r="E557" i="5"/>
  <c r="E559" i="5" s="1"/>
  <c r="N101" i="5"/>
  <c r="P101" i="5" s="1"/>
  <c r="G101" i="5"/>
  <c r="J251" i="5"/>
  <c r="J252" i="5" s="1"/>
  <c r="J254" i="5" s="1"/>
  <c r="G9" i="16" s="1"/>
  <c r="H252" i="5"/>
  <c r="H254" i="5" s="1"/>
  <c r="F13" i="5"/>
  <c r="F24" i="5" s="1"/>
  <c r="L55" i="5"/>
  <c r="L57" i="5" s="1"/>
  <c r="O54" i="5"/>
  <c r="O55" i="5" s="1"/>
  <c r="O57" i="5" s="1"/>
  <c r="F938" i="5"/>
  <c r="F943" i="5" s="1"/>
  <c r="O935" i="5"/>
  <c r="O938" i="5" s="1"/>
  <c r="O943" i="5" s="1"/>
  <c r="G656" i="5"/>
  <c r="G657" i="5" s="1"/>
  <c r="G659" i="5" s="1"/>
  <c r="G72" i="12" s="1"/>
  <c r="E657" i="5"/>
  <c r="E659" i="5" s="1"/>
  <c r="L861" i="5"/>
  <c r="L863" i="5" s="1"/>
  <c r="O860" i="5"/>
  <c r="O861" i="5" s="1"/>
  <c r="O863" i="5" s="1"/>
  <c r="N246" i="5"/>
  <c r="H247" i="5"/>
  <c r="H249" i="5" s="1"/>
  <c r="O724" i="5"/>
  <c r="O725" i="5" s="1"/>
  <c r="O727" i="5" s="1"/>
  <c r="I725" i="5"/>
  <c r="I727" i="5" s="1"/>
  <c r="E103" i="5"/>
  <c r="E144" i="5" s="1"/>
  <c r="N77" i="5"/>
  <c r="G77" i="5"/>
  <c r="G182" i="5"/>
  <c r="N505" i="5"/>
  <c r="N507" i="5" s="1"/>
  <c r="J973" i="5"/>
  <c r="J974" i="5" s="1"/>
  <c r="J976" i="5" s="1"/>
  <c r="H974" i="5"/>
  <c r="H976" i="5" s="1"/>
  <c r="G957" i="5"/>
  <c r="G959" i="5" s="1"/>
  <c r="G968" i="5" s="1"/>
  <c r="E959" i="5"/>
  <c r="E968" i="5" s="1"/>
  <c r="N957" i="5"/>
  <c r="O809" i="5"/>
  <c r="O810" i="5" s="1"/>
  <c r="O812" i="5" s="1"/>
  <c r="I810" i="5"/>
  <c r="I812" i="5" s="1"/>
  <c r="L866" i="5"/>
  <c r="L868" i="5" s="1"/>
  <c r="O865" i="5"/>
  <c r="O866" i="5" s="1"/>
  <c r="O868" i="5" s="1"/>
  <c r="O739" i="5"/>
  <c r="O740" i="5" s="1"/>
  <c r="O742" i="5" s="1"/>
  <c r="I740" i="5"/>
  <c r="I742" i="5" s="1"/>
  <c r="P181" i="5"/>
  <c r="G179" i="5"/>
  <c r="E183" i="5"/>
  <c r="E185" i="5" s="1"/>
  <c r="F62" i="5"/>
  <c r="F75" i="5" s="1"/>
  <c r="O59" i="5"/>
  <c r="O62" i="5" s="1"/>
  <c r="O691" i="5"/>
  <c r="O692" i="5" s="1"/>
  <c r="O694" i="5" s="1"/>
  <c r="I692" i="5"/>
  <c r="I694" i="5" s="1"/>
  <c r="N842" i="5"/>
  <c r="N844" i="5" s="1"/>
  <c r="P841" i="5"/>
  <c r="L22" i="5"/>
  <c r="L24" i="5" s="1"/>
  <c r="N179" i="5"/>
  <c r="P64" i="5"/>
  <c r="P261" i="5"/>
  <c r="R261" i="5" s="1"/>
  <c r="S261" i="5" s="1"/>
  <c r="G920" i="5"/>
  <c r="O920" i="5"/>
  <c r="P920" i="5" s="1"/>
  <c r="G625" i="5"/>
  <c r="E634" i="5"/>
  <c r="N433" i="5"/>
  <c r="E434" i="5"/>
  <c r="E436" i="5" s="1"/>
  <c r="F959" i="5"/>
  <c r="F968" i="5" s="1"/>
  <c r="O957" i="5"/>
  <c r="O959" i="5" s="1"/>
  <c r="O636" i="5"/>
  <c r="F640" i="5"/>
  <c r="F465" i="5"/>
  <c r="F467" i="5" s="1"/>
  <c r="O463" i="5"/>
  <c r="O465" i="5" s="1"/>
  <c r="O467" i="5" s="1"/>
  <c r="J709" i="5"/>
  <c r="J710" i="5" s="1"/>
  <c r="J712" i="5" s="1"/>
  <c r="G28" i="15" s="1"/>
  <c r="H710" i="5"/>
  <c r="H712" i="5" s="1"/>
  <c r="G200" i="5"/>
  <c r="N200" i="5"/>
  <c r="P200" i="5" s="1"/>
  <c r="N208" i="5"/>
  <c r="P208" i="5" s="1"/>
  <c r="G208" i="5"/>
  <c r="G174" i="5"/>
  <c r="M865" i="5"/>
  <c r="M866" i="5" s="1"/>
  <c r="M868" i="5" s="1"/>
  <c r="G25" i="17" s="1"/>
  <c r="K866" i="5"/>
  <c r="K868" i="5" s="1"/>
  <c r="N865" i="5"/>
  <c r="G188" i="5"/>
  <c r="E217" i="5"/>
  <c r="E219" i="5" s="1"/>
  <c r="N215" i="5"/>
  <c r="G215" i="5"/>
  <c r="N739" i="5"/>
  <c r="H740" i="5"/>
  <c r="H742" i="5" s="1"/>
  <c r="J739" i="5"/>
  <c r="J740" i="5" s="1"/>
  <c r="J742" i="5" s="1"/>
  <c r="L315" i="5"/>
  <c r="L317" i="5" s="1"/>
  <c r="O314" i="5"/>
  <c r="M314" i="5"/>
  <c r="M315" i="5" s="1"/>
  <c r="M317" i="5" s="1"/>
  <c r="O804" i="5"/>
  <c r="O805" i="5" s="1"/>
  <c r="O807" i="5" s="1"/>
  <c r="I805" i="5"/>
  <c r="I807" i="5" s="1"/>
  <c r="E26" i="16" s="1"/>
  <c r="O799" i="5"/>
  <c r="O800" i="5" s="1"/>
  <c r="O802" i="5" s="1"/>
  <c r="I800" i="5"/>
  <c r="I802" i="5" s="1"/>
  <c r="N111" i="5"/>
  <c r="P111" i="5" s="1"/>
  <c r="J111" i="5"/>
  <c r="K22" i="5"/>
  <c r="K24" i="5" s="1"/>
  <c r="N19" i="5"/>
  <c r="E522" i="5"/>
  <c r="E524" i="5" s="1"/>
  <c r="N519" i="5"/>
  <c r="G519" i="5"/>
  <c r="N39" i="5"/>
  <c r="P39" i="5" s="1"/>
  <c r="J39" i="5"/>
  <c r="N779" i="5"/>
  <c r="H780" i="5"/>
  <c r="H782" i="5" s="1"/>
  <c r="G181" i="5"/>
  <c r="J769" i="5"/>
  <c r="N422" i="5"/>
  <c r="P422" i="5" s="1"/>
  <c r="G422" i="5"/>
  <c r="O179" i="5"/>
  <c r="O183" i="5" s="1"/>
  <c r="O185" i="5" s="1"/>
  <c r="F183" i="5"/>
  <c r="F185" i="5" s="1"/>
  <c r="N59" i="5"/>
  <c r="E62" i="5"/>
  <c r="E75" i="5" s="1"/>
  <c r="P102" i="5"/>
  <c r="K931" i="5"/>
  <c r="K933" i="5" s="1"/>
  <c r="N929" i="5"/>
  <c r="M929" i="5"/>
  <c r="N675" i="5"/>
  <c r="P675" i="5" s="1"/>
  <c r="G675" i="5"/>
  <c r="N91" i="5"/>
  <c r="P91" i="5" s="1"/>
  <c r="G91" i="5"/>
  <c r="J691" i="5"/>
  <c r="J692" i="5" s="1"/>
  <c r="J694" i="5" s="1"/>
  <c r="G23" i="15" s="1"/>
  <c r="H692" i="5"/>
  <c r="H694" i="5" s="1"/>
  <c r="F159" i="5"/>
  <c r="F161" i="5" s="1"/>
  <c r="O157" i="5"/>
  <c r="O159" i="5" s="1"/>
  <c r="O161" i="5" s="1"/>
  <c r="J130" i="5"/>
  <c r="N130" i="5"/>
  <c r="P130" i="5" s="1"/>
  <c r="M930" i="5"/>
  <c r="N930" i="5"/>
  <c r="P930" i="5" s="1"/>
  <c r="N674" i="5"/>
  <c r="P674" i="5" s="1"/>
  <c r="G674" i="5"/>
  <c r="N561" i="5"/>
  <c r="E562" i="5"/>
  <c r="E564" i="5" s="1"/>
  <c r="N809" i="5"/>
  <c r="H810" i="5"/>
  <c r="H812" i="5" s="1"/>
  <c r="N257" i="5"/>
  <c r="P257" i="5" s="1"/>
  <c r="R257" i="5" s="1"/>
  <c r="S257" i="5" s="1"/>
  <c r="J257" i="5"/>
  <c r="P898" i="5"/>
  <c r="O334" i="5"/>
  <c r="I242" i="5"/>
  <c r="I244" i="5" s="1"/>
  <c r="O241" i="5"/>
  <c r="O242" i="5" s="1"/>
  <c r="O244" i="5" s="1"/>
  <c r="N79" i="5"/>
  <c r="P79" i="5" s="1"/>
  <c r="G79" i="5"/>
  <c r="N92" i="5"/>
  <c r="P92" i="5" s="1"/>
  <c r="G92" i="5"/>
  <c r="I273" i="5"/>
  <c r="I275" i="5" s="1"/>
  <c r="O271" i="5"/>
  <c r="O273" i="5" s="1"/>
  <c r="O275" i="5" s="1"/>
  <c r="O656" i="5"/>
  <c r="O657" i="5" s="1"/>
  <c r="O659" i="5" s="1"/>
  <c r="F657" i="5"/>
  <c r="F659" i="5" s="1"/>
  <c r="E640" i="5"/>
  <c r="N636" i="5"/>
  <c r="N638" i="5" s="1"/>
  <c r="G636" i="5"/>
  <c r="G89" i="5"/>
  <c r="N89" i="5"/>
  <c r="P89" i="5" s="1"/>
  <c r="N596" i="5"/>
  <c r="P596" i="5" s="1"/>
  <c r="G596" i="5"/>
  <c r="N342" i="5"/>
  <c r="N344" i="5" s="1"/>
  <c r="N123" i="5"/>
  <c r="P123" i="5" s="1"/>
  <c r="J123" i="5"/>
  <c r="N644" i="5"/>
  <c r="P644" i="5" s="1"/>
  <c r="G644" i="5"/>
  <c r="N236" i="5"/>
  <c r="P236" i="5" s="1"/>
  <c r="R236" i="5" s="1"/>
  <c r="S236" i="5" s="1"/>
  <c r="J236" i="5"/>
  <c r="N11" i="5"/>
  <c r="P11" i="5" s="1"/>
  <c r="G11" i="5"/>
  <c r="H273" i="5"/>
  <c r="H275" i="5" s="1"/>
  <c r="N271" i="5"/>
  <c r="J271" i="5"/>
  <c r="G10" i="15" s="1"/>
  <c r="F103" i="5"/>
  <c r="F144" i="5" s="1"/>
  <c r="O77" i="5"/>
  <c r="O103" i="5" s="1"/>
  <c r="J754" i="5"/>
  <c r="J755" i="5" s="1"/>
  <c r="J757" i="5" s="1"/>
  <c r="G27" i="16" s="1"/>
  <c r="H755" i="5"/>
  <c r="H757" i="5" s="1"/>
  <c r="O973" i="5"/>
  <c r="O974" i="5" s="1"/>
  <c r="O976" i="5" s="1"/>
  <c r="I974" i="5"/>
  <c r="I976" i="5" s="1"/>
  <c r="G98" i="5"/>
  <c r="P188" i="5"/>
  <c r="N391" i="5"/>
  <c r="P391" i="5" s="1"/>
  <c r="N521" i="5"/>
  <c r="P521" i="5" s="1"/>
  <c r="G561" i="5"/>
  <c r="G562" i="5" s="1"/>
  <c r="G564" i="5" s="1"/>
  <c r="G64" i="12" s="1"/>
  <c r="N656" i="5"/>
  <c r="N937" i="5"/>
  <c r="P937" i="5" s="1"/>
  <c r="N66" i="5"/>
  <c r="P66" i="5" s="1"/>
  <c r="O754" i="5"/>
  <c r="O755" i="5" s="1"/>
  <c r="O757" i="5" s="1"/>
  <c r="I755" i="5"/>
  <c r="I757" i="5" s="1"/>
  <c r="M825" i="5"/>
  <c r="N825" i="5"/>
  <c r="P825" i="5" s="1"/>
  <c r="N172" i="5"/>
  <c r="P172" i="5" s="1"/>
  <c r="G172" i="5"/>
  <c r="O625" i="5"/>
  <c r="F634" i="5"/>
  <c r="O433" i="5"/>
  <c r="O434" i="5" s="1"/>
  <c r="O436" i="5" s="1"/>
  <c r="F434" i="5"/>
  <c r="F436" i="5" s="1"/>
  <c r="F189" i="5"/>
  <c r="F191" i="5" s="1"/>
  <c r="O187" i="5"/>
  <c r="O189" i="5" s="1"/>
  <c r="O191" i="5" s="1"/>
  <c r="J926" i="5"/>
  <c r="N608" i="5"/>
  <c r="P608" i="5" s="1"/>
  <c r="G608" i="5"/>
  <c r="N419" i="5"/>
  <c r="P419" i="5" s="1"/>
  <c r="G419" i="5"/>
  <c r="J952" i="5"/>
  <c r="O709" i="5"/>
  <c r="O710" i="5" s="1"/>
  <c r="O712" i="5" s="1"/>
  <c r="I710" i="5"/>
  <c r="I712" i="5" s="1"/>
  <c r="O146" i="5"/>
  <c r="F147" i="5"/>
  <c r="F149" i="5" s="1"/>
  <c r="K837" i="5"/>
  <c r="K839" i="5" s="1"/>
  <c r="N836" i="5"/>
  <c r="M836" i="5"/>
  <c r="N485" i="5"/>
  <c r="E486" i="5"/>
  <c r="E488" i="5" s="1"/>
  <c r="E14" i="12" s="1"/>
  <c r="F203" i="5"/>
  <c r="F205" i="5" s="1"/>
  <c r="O199" i="5"/>
  <c r="N620" i="5"/>
  <c r="E621" i="5"/>
  <c r="E623" i="5" s="1"/>
  <c r="G620" i="5"/>
  <c r="G621" i="5" s="1"/>
  <c r="G623" i="5" s="1"/>
  <c r="P260" i="5"/>
  <c r="R260" i="5" s="1"/>
  <c r="S260" i="5" s="1"/>
  <c r="M965" i="5"/>
  <c r="M966" i="5" s="1"/>
  <c r="M968" i="5" s="1"/>
  <c r="K966" i="5"/>
  <c r="K968" i="5" s="1"/>
  <c r="N965" i="5"/>
  <c r="J759" i="5"/>
  <c r="J760" i="5" s="1"/>
  <c r="J762" i="5" s="1"/>
  <c r="G28" i="16" s="1"/>
  <c r="H760" i="5"/>
  <c r="H762" i="5" s="1"/>
  <c r="N479" i="5"/>
  <c r="P479" i="5" s="1"/>
  <c r="G479" i="5"/>
  <c r="N110" i="5"/>
  <c r="P110" i="5" s="1"/>
  <c r="J110" i="5"/>
  <c r="O676" i="5"/>
  <c r="O678" i="5" s="1"/>
  <c r="O490" i="5"/>
  <c r="O493" i="5" s="1"/>
  <c r="O495" i="5" s="1"/>
  <c r="F493" i="5"/>
  <c r="F495" i="5" s="1"/>
  <c r="F522" i="5"/>
  <c r="F524" i="5" s="1"/>
  <c r="O519" i="5"/>
  <c r="O522" i="5" s="1"/>
  <c r="O524" i="5" s="1"/>
  <c r="J15" i="5"/>
  <c r="H17" i="5"/>
  <c r="H24" i="5" s="1"/>
  <c r="N15" i="5"/>
  <c r="O779" i="5"/>
  <c r="O780" i="5" s="1"/>
  <c r="O782" i="5" s="1"/>
  <c r="I780" i="5"/>
  <c r="I782" i="5" s="1"/>
  <c r="E153" i="5"/>
  <c r="E155" i="5" s="1"/>
  <c r="N151" i="5"/>
  <c r="G151" i="5"/>
  <c r="G33" i="5"/>
  <c r="N33" i="5"/>
  <c r="P33" i="5" s="1"/>
  <c r="E500" i="5"/>
  <c r="E502" i="5" s="1"/>
  <c r="N497" i="5"/>
  <c r="G497" i="5"/>
  <c r="L931" i="5"/>
  <c r="L933" i="5" s="1"/>
  <c r="O929" i="5"/>
  <c r="O931" i="5" s="1"/>
  <c r="N173" i="5"/>
  <c r="P173" i="5" s="1"/>
  <c r="G173" i="5"/>
  <c r="J131" i="5"/>
  <c r="N131" i="5"/>
  <c r="P131" i="5" s="1"/>
  <c r="F682" i="5"/>
  <c r="F684" i="5" s="1"/>
  <c r="O680" i="5"/>
  <c r="O682" i="5" s="1"/>
  <c r="O684" i="5" s="1"/>
  <c r="I697" i="5"/>
  <c r="I699" i="5" s="1"/>
  <c r="O696" i="5"/>
  <c r="O697" i="5" s="1"/>
  <c r="O699" i="5" s="1"/>
  <c r="N165" i="5"/>
  <c r="P165" i="5" s="1"/>
  <c r="G165" i="5"/>
  <c r="J724" i="5"/>
  <c r="J725" i="5" s="1"/>
  <c r="J727" i="5" s="1"/>
  <c r="G19" i="15" s="1"/>
  <c r="H725" i="5"/>
  <c r="H727" i="5" s="1"/>
  <c r="E568" i="5"/>
  <c r="E570" i="5" s="1"/>
  <c r="N566" i="5"/>
  <c r="G566" i="5"/>
  <c r="G568" i="5" s="1"/>
  <c r="G570" i="5" s="1"/>
  <c r="G65" i="12" s="1"/>
  <c r="N853" i="5"/>
  <c r="P853" i="5" s="1"/>
  <c r="M853" i="5"/>
  <c r="M44" i="5"/>
  <c r="N44" i="5"/>
  <c r="P44" i="5" s="1"/>
  <c r="I69" i="5"/>
  <c r="I75" i="5" s="1"/>
  <c r="J799" i="5"/>
  <c r="J800" i="5" s="1"/>
  <c r="J802" i="5" s="1"/>
  <c r="H800" i="5"/>
  <c r="H802" i="5" s="1"/>
  <c r="N122" i="5"/>
  <c r="P122" i="5" s="1"/>
  <c r="J122" i="5"/>
  <c r="E547" i="5"/>
  <c r="E549" i="5" s="1"/>
  <c r="N536" i="5"/>
  <c r="G536" i="5"/>
  <c r="G12" i="5"/>
  <c r="J256" i="5"/>
  <c r="P774" i="5"/>
  <c r="N775" i="5"/>
  <c r="N777" i="5" s="1"/>
  <c r="J940" i="5"/>
  <c r="J941" i="5" s="1"/>
  <c r="J943" i="5" s="1"/>
  <c r="E189" i="5"/>
  <c r="E191" i="5" s="1"/>
  <c r="N187" i="5"/>
  <c r="G187" i="5"/>
  <c r="G100" i="5"/>
  <c r="N100" i="5"/>
  <c r="P100" i="5" s="1"/>
  <c r="N846" i="5"/>
  <c r="M846" i="5"/>
  <c r="K872" i="5"/>
  <c r="K874" i="5" s="1"/>
  <c r="M870" i="5"/>
  <c r="M872" i="5" s="1"/>
  <c r="M874" i="5" s="1"/>
  <c r="G32" i="17" s="1"/>
  <c r="N870" i="5"/>
  <c r="N418" i="5"/>
  <c r="E424" i="5"/>
  <c r="E426" i="5" s="1"/>
  <c r="O175" i="5"/>
  <c r="O177" i="5" s="1"/>
  <c r="N82" i="5"/>
  <c r="P82" i="5" s="1"/>
  <c r="G82" i="5"/>
  <c r="L837" i="5"/>
  <c r="L839" i="5" s="1"/>
  <c r="O836" i="5"/>
  <c r="F486" i="5"/>
  <c r="F488" i="5" s="1"/>
  <c r="O485" i="5"/>
  <c r="O486" i="5" s="1"/>
  <c r="O488" i="5" s="1"/>
  <c r="E203" i="5"/>
  <c r="E205" i="5" s="1"/>
  <c r="G199" i="5"/>
  <c r="N199" i="5"/>
  <c r="O620" i="5"/>
  <c r="O621" i="5" s="1"/>
  <c r="O623" i="5" s="1"/>
  <c r="F621" i="5"/>
  <c r="F623" i="5" s="1"/>
  <c r="N118" i="5"/>
  <c r="P118" i="5" s="1"/>
  <c r="J118" i="5"/>
  <c r="L342" i="5"/>
  <c r="L344" i="5" s="1"/>
  <c r="E14" i="17" s="1"/>
  <c r="O341" i="5"/>
  <c r="O342" i="5" s="1"/>
  <c r="O344" i="5" s="1"/>
  <c r="O759" i="5"/>
  <c r="O760" i="5" s="1"/>
  <c r="O762" i="5" s="1"/>
  <c r="I760" i="5"/>
  <c r="I762" i="5" s="1"/>
  <c r="N520" i="5"/>
  <c r="P520" i="5" s="1"/>
  <c r="G520" i="5"/>
  <c r="N259" i="5"/>
  <c r="P259" i="5" s="1"/>
  <c r="R259" i="5" s="1"/>
  <c r="S259" i="5" s="1"/>
  <c r="J259" i="5"/>
  <c r="E409" i="5"/>
  <c r="E411" i="5" s="1"/>
  <c r="G407" i="5"/>
  <c r="N407" i="5"/>
  <c r="F676" i="5"/>
  <c r="F678" i="5" s="1"/>
  <c r="G443" i="5"/>
  <c r="G444" i="5" s="1"/>
  <c r="G446" i="5" s="1"/>
  <c r="G24" i="12" s="1"/>
  <c r="G52" i="13" s="1"/>
  <c r="E444" i="5"/>
  <c r="E446" i="5" s="1"/>
  <c r="I17" i="5"/>
  <c r="I24" i="5" s="1"/>
  <c r="O15" i="5"/>
  <c r="O17" i="5" s="1"/>
  <c r="N651" i="5"/>
  <c r="P651" i="5" s="1"/>
  <c r="G651" i="5"/>
  <c r="N729" i="5"/>
  <c r="H730" i="5"/>
  <c r="H732" i="5" s="1"/>
  <c r="N390" i="5"/>
  <c r="E392" i="5"/>
  <c r="E394" i="5" s="1"/>
  <c r="F153" i="5"/>
  <c r="F155" i="5" s="1"/>
  <c r="O151" i="5"/>
  <c r="O153" i="5" s="1"/>
  <c r="O155" i="5" s="1"/>
  <c r="F500" i="5"/>
  <c r="F502" i="5" s="1"/>
  <c r="O497" i="5"/>
  <c r="O500" i="5" s="1"/>
  <c r="O502" i="5" s="1"/>
  <c r="L882" i="5"/>
  <c r="L884" i="5" s="1"/>
  <c r="E23" i="17" s="1"/>
  <c r="O881" i="5"/>
  <c r="O882" i="5" s="1"/>
  <c r="O884" i="5" s="1"/>
  <c r="N642" i="5"/>
  <c r="E646" i="5"/>
  <c r="E648" i="5" s="1"/>
  <c r="G642" i="5"/>
  <c r="F36" i="5"/>
  <c r="F49" i="5" s="1"/>
  <c r="O31" i="5"/>
  <c r="O36" i="5" s="1"/>
  <c r="G353" i="5"/>
  <c r="J106" i="5"/>
  <c r="N106" i="5"/>
  <c r="P106" i="5" s="1"/>
  <c r="E682" i="5"/>
  <c r="E684" i="5" s="1"/>
  <c r="N680" i="5"/>
  <c r="G680" i="5"/>
  <c r="G682" i="5" s="1"/>
  <c r="G684" i="5" s="1"/>
  <c r="G75" i="12" s="1"/>
  <c r="N605" i="5"/>
  <c r="P605" i="5" s="1"/>
  <c r="G605" i="5"/>
  <c r="N241" i="5"/>
  <c r="H242" i="5"/>
  <c r="H244" i="5" s="1"/>
  <c r="P709" i="5"/>
  <c r="N710" i="5"/>
  <c r="N712" i="5" s="1"/>
  <c r="F547" i="5"/>
  <c r="F549" i="5" s="1"/>
  <c r="O536" i="5"/>
  <c r="O547" i="5" s="1"/>
  <c r="O549" i="5" s="1"/>
  <c r="N444" i="5"/>
  <c r="N446" i="5" s="1"/>
  <c r="P551" i="5"/>
  <c r="N552" i="5"/>
  <c r="N554" i="5" s="1"/>
  <c r="N252" i="5"/>
  <c r="N254" i="5" s="1"/>
  <c r="F481" i="5"/>
  <c r="F483" i="5" s="1"/>
  <c r="O477" i="5"/>
  <c r="O481" i="5" s="1"/>
  <c r="O483" i="5" s="1"/>
  <c r="E465" i="5"/>
  <c r="E467" i="5" s="1"/>
  <c r="G463" i="5"/>
  <c r="N463" i="5"/>
  <c r="N87" i="5"/>
  <c r="P87" i="5" s="1"/>
  <c r="G87" i="5"/>
  <c r="N368" i="5"/>
  <c r="P368" i="5" s="1"/>
  <c r="G368" i="5"/>
  <c r="G370" i="5" s="1"/>
  <c r="G372" i="5" s="1"/>
  <c r="G35" i="12" s="1"/>
  <c r="F568" i="5"/>
  <c r="F570" i="5" s="1"/>
  <c r="O566" i="5"/>
  <c r="O568" i="5" s="1"/>
  <c r="O570" i="5" s="1"/>
  <c r="E159" i="5"/>
  <c r="E161" i="5" s="1"/>
  <c r="G157" i="5"/>
  <c r="N157" i="5"/>
  <c r="P556" i="5"/>
  <c r="N557" i="5"/>
  <c r="N559" i="5" s="1"/>
  <c r="G662" i="5"/>
  <c r="N662" i="5"/>
  <c r="P662" i="5" s="1"/>
  <c r="P402" i="5"/>
  <c r="R402" i="5" s="1"/>
  <c r="N403" i="5"/>
  <c r="N405" i="5" s="1"/>
  <c r="N573" i="5"/>
  <c r="N575" i="5" s="1"/>
  <c r="J234" i="5"/>
  <c r="N789" i="5"/>
  <c r="H790" i="5"/>
  <c r="H792" i="5" s="1"/>
  <c r="N379" i="5"/>
  <c r="E380" i="5"/>
  <c r="E382" i="5" s="1"/>
  <c r="N925" i="5"/>
  <c r="P925" i="5" s="1"/>
  <c r="J925" i="5"/>
  <c r="P673" i="5"/>
  <c r="F424" i="5"/>
  <c r="F426" i="5" s="1"/>
  <c r="O418" i="5"/>
  <c r="O424" i="5" s="1"/>
  <c r="O426" i="5" s="1"/>
  <c r="F175" i="5"/>
  <c r="F177" i="5" s="1"/>
  <c r="P51" i="5"/>
  <c r="N52" i="5"/>
  <c r="N124" i="5"/>
  <c r="P124" i="5" s="1"/>
  <c r="J124" i="5"/>
  <c r="E439" i="5"/>
  <c r="E441" i="5" s="1"/>
  <c r="G438" i="5"/>
  <c r="G439" i="5" s="1"/>
  <c r="G441" i="5" s="1"/>
  <c r="G28" i="12" s="1"/>
  <c r="N438" i="5"/>
  <c r="P109" i="5"/>
  <c r="G572" i="5"/>
  <c r="G573" i="5" s="1"/>
  <c r="G575" i="5" s="1"/>
  <c r="G60" i="12" s="1"/>
  <c r="G53" i="13" s="1"/>
  <c r="E573" i="5"/>
  <c r="E575" i="5" s="1"/>
  <c r="N539" i="5"/>
  <c r="P539" i="5" s="1"/>
  <c r="G539" i="5"/>
  <c r="N913" i="5"/>
  <c r="E922" i="5"/>
  <c r="E933" i="5" s="1"/>
  <c r="G913" i="5"/>
  <c r="J703" i="5"/>
  <c r="N703" i="5"/>
  <c r="F409" i="5"/>
  <c r="F411" i="5" s="1"/>
  <c r="O407" i="5"/>
  <c r="O409" i="5" s="1"/>
  <c r="O411" i="5" s="1"/>
  <c r="G60" i="5"/>
  <c r="G62" i="5" s="1"/>
  <c r="G75" i="5" s="1"/>
  <c r="N60" i="5"/>
  <c r="P60" i="5" s="1"/>
  <c r="O163" i="5"/>
  <c r="O167" i="5" s="1"/>
  <c r="O169" i="5" s="1"/>
  <c r="F167" i="5"/>
  <c r="F169" i="5" s="1"/>
  <c r="O443" i="5"/>
  <c r="O444" i="5" s="1"/>
  <c r="O446" i="5" s="1"/>
  <c r="F444" i="5"/>
  <c r="F446" i="5" s="1"/>
  <c r="N107" i="5"/>
  <c r="P107" i="5" s="1"/>
  <c r="J107" i="5"/>
  <c r="N38" i="5"/>
  <c r="H41" i="5"/>
  <c r="H49" i="5" s="1"/>
  <c r="J38" i="5"/>
  <c r="M848" i="5"/>
  <c r="N848" i="5"/>
  <c r="P848" i="5" s="1"/>
  <c r="O729" i="5"/>
  <c r="O730" i="5" s="1"/>
  <c r="O732" i="5" s="1"/>
  <c r="I730" i="5"/>
  <c r="I732" i="5" s="1"/>
  <c r="E15" i="15" s="1"/>
  <c r="O390" i="5"/>
  <c r="O392" i="5" s="1"/>
  <c r="O394" i="5" s="1"/>
  <c r="F392" i="5"/>
  <c r="F394" i="5" s="1"/>
  <c r="N78" i="5"/>
  <c r="P78" i="5" s="1"/>
  <c r="G78" i="5"/>
  <c r="N32" i="5"/>
  <c r="P32" i="5" s="1"/>
  <c r="G32" i="5"/>
  <c r="F922" i="5"/>
  <c r="F933" i="5" s="1"/>
  <c r="O642" i="5"/>
  <c r="O646" i="5" s="1"/>
  <c r="O648" i="5" s="1"/>
  <c r="F646" i="5"/>
  <c r="F648" i="5" s="1"/>
  <c r="E36" i="5"/>
  <c r="E49" i="5" s="1"/>
  <c r="G31" i="5"/>
  <c r="N31" i="5"/>
  <c r="O320" i="5"/>
  <c r="O322" i="5" s="1"/>
  <c r="N80" i="5"/>
  <c r="P80" i="5" s="1"/>
  <c r="G80" i="5"/>
  <c r="J119" i="5"/>
  <c r="N527" i="5"/>
  <c r="N529" i="5" s="1"/>
  <c r="P329" i="5"/>
  <c r="N330" i="5"/>
  <c r="N332" i="5" s="1"/>
  <c r="F17" i="18" l="1"/>
  <c r="F28" i="13"/>
  <c r="F29" i="13" s="1"/>
  <c r="F14" i="18" s="1"/>
  <c r="D19" i="13"/>
  <c r="D8" i="18" s="1"/>
  <c r="G57" i="13"/>
  <c r="G40" i="13" s="1"/>
  <c r="D17" i="18"/>
  <c r="D28" i="13"/>
  <c r="D29" i="13" s="1"/>
  <c r="D14" i="18" s="1"/>
  <c r="I37" i="13"/>
  <c r="I39" i="13"/>
  <c r="P691" i="5"/>
  <c r="P734" i="5"/>
  <c r="G632" i="5"/>
  <c r="G634" i="5" s="1"/>
  <c r="G159" i="5"/>
  <c r="G161" i="5" s="1"/>
  <c r="G13" i="14" s="1"/>
  <c r="G12" i="13" s="1"/>
  <c r="O632" i="5"/>
  <c r="O634" i="5" s="1"/>
  <c r="N632" i="5"/>
  <c r="N634" i="5" s="1"/>
  <c r="E38" i="12"/>
  <c r="D36" i="16"/>
  <c r="D16" i="18" s="1"/>
  <c r="D26" i="18"/>
  <c r="D32" i="15"/>
  <c r="D15" i="18" s="1"/>
  <c r="D29" i="14"/>
  <c r="D9" i="18"/>
  <c r="D10" i="18"/>
  <c r="D11" i="18"/>
  <c r="D35" i="17"/>
  <c r="F36" i="13"/>
  <c r="F36" i="16"/>
  <c r="F16" i="18" s="1"/>
  <c r="F32" i="15"/>
  <c r="F11" i="18"/>
  <c r="F12" i="18" s="1"/>
  <c r="F35" i="17"/>
  <c r="G33" i="16"/>
  <c r="G45" i="12"/>
  <c r="E45" i="12" s="1"/>
  <c r="E24" i="13" s="1"/>
  <c r="P398" i="5"/>
  <c r="P400" i="5" s="1"/>
  <c r="G24" i="14"/>
  <c r="E24" i="14" s="1"/>
  <c r="G55" i="12"/>
  <c r="E55" i="12" s="1"/>
  <c r="G30" i="12"/>
  <c r="E30" i="12" s="1"/>
  <c r="G41" i="12"/>
  <c r="E41" i="12" s="1"/>
  <c r="G62" i="12"/>
  <c r="E62" i="12" s="1"/>
  <c r="G16" i="12"/>
  <c r="E16" i="12" s="1"/>
  <c r="G29" i="12"/>
  <c r="E29" i="12" s="1"/>
  <c r="G25" i="14"/>
  <c r="E25" i="14" s="1"/>
  <c r="G23" i="14"/>
  <c r="G27" i="15"/>
  <c r="E27" i="15" s="1"/>
  <c r="G18" i="16"/>
  <c r="E18" i="16" s="1"/>
  <c r="G22" i="15"/>
  <c r="E22" i="15" s="1"/>
  <c r="G11" i="16"/>
  <c r="E11" i="16" s="1"/>
  <c r="G23" i="16"/>
  <c r="G21" i="15"/>
  <c r="E21" i="15" s="1"/>
  <c r="G35" i="16"/>
  <c r="E35" i="16" s="1"/>
  <c r="G25" i="16"/>
  <c r="E25" i="16" s="1"/>
  <c r="G24" i="17"/>
  <c r="E24" i="17" s="1"/>
  <c r="G22" i="17"/>
  <c r="E22" i="17" s="1"/>
  <c r="G28" i="17"/>
  <c r="E28" i="17" s="1"/>
  <c r="G29" i="17"/>
  <c r="E29" i="17" s="1"/>
  <c r="G12" i="17"/>
  <c r="E12" i="17" s="1"/>
  <c r="G23" i="18"/>
  <c r="E36" i="15"/>
  <c r="E23" i="18" s="1"/>
  <c r="E24" i="12"/>
  <c r="E52" i="13" s="1"/>
  <c r="E65" i="12"/>
  <c r="E25" i="17"/>
  <c r="E17" i="16"/>
  <c r="E75" i="12"/>
  <c r="E9" i="12"/>
  <c r="E51" i="13" s="1"/>
  <c r="E23" i="15"/>
  <c r="E11" i="17"/>
  <c r="E27" i="16"/>
  <c r="E24" i="15"/>
  <c r="E28" i="12"/>
  <c r="E32" i="17"/>
  <c r="G153" i="5"/>
  <c r="G155" i="5" s="1"/>
  <c r="G10" i="14" s="1"/>
  <c r="E37" i="12"/>
  <c r="E20" i="15"/>
  <c r="E31" i="16"/>
  <c r="E13" i="16"/>
  <c r="E10" i="17"/>
  <c r="E26" i="17"/>
  <c r="E32" i="16"/>
  <c r="E8" i="13"/>
  <c r="E19" i="15"/>
  <c r="E28" i="16"/>
  <c r="E9" i="16"/>
  <c r="E24" i="16"/>
  <c r="E19" i="12"/>
  <c r="E70" i="12"/>
  <c r="E55" i="13" s="1"/>
  <c r="E35" i="12"/>
  <c r="E40" i="12"/>
  <c r="E23" i="12"/>
  <c r="E25" i="12"/>
  <c r="E60" i="12"/>
  <c r="E53" i="13" s="1"/>
  <c r="E28" i="15"/>
  <c r="E61" i="12"/>
  <c r="E72" i="12"/>
  <c r="E33" i="12"/>
  <c r="E21" i="17"/>
  <c r="E26" i="12"/>
  <c r="H28" i="18"/>
  <c r="H29" i="18" s="1"/>
  <c r="G28" i="18"/>
  <c r="O358" i="5"/>
  <c r="O360" i="5" s="1"/>
  <c r="G358" i="5"/>
  <c r="G360" i="5" s="1"/>
  <c r="G39" i="12" s="1"/>
  <c r="N358" i="5"/>
  <c r="N360" i="5" s="1"/>
  <c r="P886" i="5"/>
  <c r="P892" i="5" s="1"/>
  <c r="N892" i="5"/>
  <c r="N894" i="5" s="1"/>
  <c r="M892" i="5"/>
  <c r="M894" i="5" s="1"/>
  <c r="M856" i="5"/>
  <c r="M858" i="5" s="1"/>
  <c r="N856" i="5"/>
  <c r="N858" i="5" s="1"/>
  <c r="O337" i="5"/>
  <c r="O339" i="5" s="1"/>
  <c r="M337" i="5"/>
  <c r="M339" i="5" s="1"/>
  <c r="N337" i="5"/>
  <c r="N339" i="5" s="1"/>
  <c r="O298" i="5"/>
  <c r="O300" i="5" s="1"/>
  <c r="M298" i="5"/>
  <c r="M300" i="5" s="1"/>
  <c r="N298" i="5"/>
  <c r="N300" i="5" s="1"/>
  <c r="M284" i="5"/>
  <c r="M286" i="5" s="1"/>
  <c r="O284" i="5"/>
  <c r="O286" i="5" s="1"/>
  <c r="O638" i="5"/>
  <c r="O640" i="5" s="1"/>
  <c r="G638" i="5"/>
  <c r="G640" i="5" s="1"/>
  <c r="O586" i="5"/>
  <c r="O588" i="5" s="1"/>
  <c r="G586" i="5"/>
  <c r="G588" i="5" s="1"/>
  <c r="G54" i="12" s="1"/>
  <c r="M22" i="5"/>
  <c r="M24" i="5" s="1"/>
  <c r="G211" i="5"/>
  <c r="G213" i="5" s="1"/>
  <c r="G14" i="14" s="1"/>
  <c r="N211" i="5"/>
  <c r="N213" i="5" s="1"/>
  <c r="O305" i="5"/>
  <c r="O307" i="5" s="1"/>
  <c r="M305" i="5"/>
  <c r="M307" i="5" s="1"/>
  <c r="G465" i="5"/>
  <c r="G467" i="5" s="1"/>
  <c r="G493" i="5"/>
  <c r="G495" i="5" s="1"/>
  <c r="P526" i="5"/>
  <c r="P527" i="5" s="1"/>
  <c r="P692" i="5"/>
  <c r="P744" i="5"/>
  <c r="M142" i="5"/>
  <c r="M144" i="5" s="1"/>
  <c r="P830" i="5"/>
  <c r="P831" i="5" s="1"/>
  <c r="P754" i="5"/>
  <c r="P755" i="5" s="1"/>
  <c r="P804" i="5"/>
  <c r="P805" i="5" s="1"/>
  <c r="P735" i="5"/>
  <c r="P490" i="5"/>
  <c r="P625" i="5"/>
  <c r="P632" i="5" s="1"/>
  <c r="O610" i="5"/>
  <c r="O612" i="5" s="1"/>
  <c r="P603" i="5"/>
  <c r="P572" i="5"/>
  <c r="P573" i="5" s="1"/>
  <c r="P458" i="5"/>
  <c r="P459" i="5" s="1"/>
  <c r="P461" i="5" s="1"/>
  <c r="P504" i="5"/>
  <c r="P505" i="5" s="1"/>
  <c r="P443" i="5"/>
  <c r="P444" i="5" s="1"/>
  <c r="G8" i="13"/>
  <c r="P453" i="5"/>
  <c r="P454" i="5" s="1"/>
  <c r="P719" i="5"/>
  <c r="P720" i="5" s="1"/>
  <c r="N227" i="5"/>
  <c r="N229" i="5" s="1"/>
  <c r="J17" i="5"/>
  <c r="J24" i="5" s="1"/>
  <c r="J770" i="5"/>
  <c r="J772" i="5" s="1"/>
  <c r="G19" i="16" s="1"/>
  <c r="P26" i="5"/>
  <c r="P27" i="5" s="1"/>
  <c r="N398" i="5"/>
  <c r="N400" i="5" s="1"/>
  <c r="M73" i="5"/>
  <c r="M75" i="5" s="1"/>
  <c r="J273" i="5"/>
  <c r="J275" i="5" s="1"/>
  <c r="E10" i="15"/>
  <c r="G664" i="5"/>
  <c r="G666" i="5" s="1"/>
  <c r="P71" i="5"/>
  <c r="P73" i="5" s="1"/>
  <c r="O75" i="5"/>
  <c r="J69" i="5"/>
  <c r="J75" i="5" s="1"/>
  <c r="G948" i="5"/>
  <c r="G955" i="5" s="1"/>
  <c r="N195" i="5"/>
  <c r="N197" i="5" s="1"/>
  <c r="O203" i="5"/>
  <c r="O205" i="5" s="1"/>
  <c r="G217" i="5"/>
  <c r="G219" i="5" s="1"/>
  <c r="G27" i="14" s="1"/>
  <c r="N429" i="5"/>
  <c r="N431" i="5" s="1"/>
  <c r="N904" i="5"/>
  <c r="N906" i="5" s="1"/>
  <c r="J953" i="5"/>
  <c r="J955" i="5" s="1"/>
  <c r="N73" i="5"/>
  <c r="P309" i="5"/>
  <c r="P310" i="5" s="1"/>
  <c r="G500" i="5"/>
  <c r="G502" i="5" s="1"/>
  <c r="P319" i="5"/>
  <c r="P320" i="5" s="1"/>
  <c r="G676" i="5"/>
  <c r="G678" i="5" s="1"/>
  <c r="G424" i="5"/>
  <c r="G426" i="5" s="1"/>
  <c r="M837" i="5"/>
  <c r="M839" i="5" s="1"/>
  <c r="O968" i="5"/>
  <c r="O49" i="5"/>
  <c r="G409" i="5"/>
  <c r="G411" i="5" s="1"/>
  <c r="G473" i="5"/>
  <c r="G475" i="5" s="1"/>
  <c r="J927" i="5"/>
  <c r="J933" i="5" s="1"/>
  <c r="P277" i="5"/>
  <c r="G189" i="5"/>
  <c r="G191" i="5" s="1"/>
  <c r="G11" i="14" s="1"/>
  <c r="G610" i="5"/>
  <c r="G612" i="5" s="1"/>
  <c r="G167" i="5"/>
  <c r="G169" i="5" s="1"/>
  <c r="G12" i="14" s="1"/>
  <c r="G13" i="5"/>
  <c r="G24" i="5" s="1"/>
  <c r="M931" i="5"/>
  <c r="M933" i="5" s="1"/>
  <c r="N167" i="5"/>
  <c r="N169" i="5" s="1"/>
  <c r="G938" i="5"/>
  <c r="G943" i="5" s="1"/>
  <c r="P193" i="5"/>
  <c r="P195" i="5" s="1"/>
  <c r="G195" i="5"/>
  <c r="G197" i="5" s="1"/>
  <c r="G16" i="14" s="1"/>
  <c r="G203" i="5"/>
  <c r="G205" i="5" s="1"/>
  <c r="G17" i="14" s="1"/>
  <c r="N664" i="5"/>
  <c r="N666" i="5" s="1"/>
  <c r="P908" i="5"/>
  <c r="P909" i="5" s="1"/>
  <c r="J237" i="5"/>
  <c r="J239" i="5" s="1"/>
  <c r="G9" i="15" s="1"/>
  <c r="J705" i="5"/>
  <c r="J707" i="5" s="1"/>
  <c r="G16" i="15" s="1"/>
  <c r="O922" i="5"/>
  <c r="O933" i="5" s="1"/>
  <c r="N676" i="5"/>
  <c r="N678" i="5" s="1"/>
  <c r="G922" i="5"/>
  <c r="G933" i="5" s="1"/>
  <c r="O24" i="5"/>
  <c r="N837" i="5"/>
  <c r="N839" i="5" s="1"/>
  <c r="N13" i="5"/>
  <c r="N730" i="5"/>
  <c r="N732" i="5" s="1"/>
  <c r="P729" i="5"/>
  <c r="P69" i="5"/>
  <c r="N877" i="5"/>
  <c r="N879" i="5" s="1"/>
  <c r="P876" i="5"/>
  <c r="P815" i="5"/>
  <c r="P346" i="5"/>
  <c r="P358" i="5" s="1"/>
  <c r="P531" i="5"/>
  <c r="S531" i="5" s="1"/>
  <c r="N532" i="5"/>
  <c r="N534" i="5" s="1"/>
  <c r="N927" i="5"/>
  <c r="P924" i="5"/>
  <c r="N138" i="5"/>
  <c r="P288" i="5"/>
  <c r="P298" i="5" s="1"/>
  <c r="P860" i="5"/>
  <c r="S860" i="5" s="1"/>
  <c r="N861" i="5"/>
  <c r="N863" i="5" s="1"/>
  <c r="P271" i="5"/>
  <c r="N273" i="5"/>
  <c r="N275" i="5" s="1"/>
  <c r="P913" i="5"/>
  <c r="N922" i="5"/>
  <c r="P52" i="5"/>
  <c r="N790" i="5"/>
  <c r="N792" i="5" s="1"/>
  <c r="P789" i="5"/>
  <c r="P497" i="5"/>
  <c r="N500" i="5"/>
  <c r="N502" i="5" s="1"/>
  <c r="N810" i="5"/>
  <c r="N812" i="5" s="1"/>
  <c r="P809" i="5"/>
  <c r="P59" i="5"/>
  <c r="N62" i="5"/>
  <c r="G522" i="5"/>
  <c r="G524" i="5" s="1"/>
  <c r="P179" i="5"/>
  <c r="N183" i="5"/>
  <c r="N185" i="5" s="1"/>
  <c r="P221" i="5"/>
  <c r="N222" i="5"/>
  <c r="N224" i="5" s="1"/>
  <c r="P785" i="5"/>
  <c r="J138" i="5"/>
  <c r="J144" i="5" s="1"/>
  <c r="P138" i="5"/>
  <c r="P463" i="5"/>
  <c r="N465" i="5"/>
  <c r="N467" i="5" s="1"/>
  <c r="P163" i="5"/>
  <c r="P965" i="5"/>
  <c r="N966" i="5"/>
  <c r="P519" i="5"/>
  <c r="N522" i="5"/>
  <c r="N524" i="5" s="1"/>
  <c r="O315" i="5"/>
  <c r="O317" i="5" s="1"/>
  <c r="P314" i="5"/>
  <c r="M826" i="5"/>
  <c r="M828" i="5" s="1"/>
  <c r="G31" i="17" s="1"/>
  <c r="P448" i="5"/>
  <c r="N449" i="5"/>
  <c r="N451" i="5" s="1"/>
  <c r="P335" i="5"/>
  <c r="P414" i="5"/>
  <c r="P800" i="5"/>
  <c r="P557" i="5"/>
  <c r="P775" i="5"/>
  <c r="P561" i="5"/>
  <c r="S562" i="5" s="1"/>
  <c r="N562" i="5"/>
  <c r="N564" i="5" s="1"/>
  <c r="P842" i="5"/>
  <c r="G103" i="5"/>
  <c r="G144" i="5" s="1"/>
  <c r="P819" i="5"/>
  <c r="S819" i="5" s="1"/>
  <c r="N826" i="5"/>
  <c r="N828" i="5" s="1"/>
  <c r="O955" i="5"/>
  <c r="P668" i="5"/>
  <c r="N669" i="5"/>
  <c r="N671" i="5" s="1"/>
  <c r="N646" i="5"/>
  <c r="N648" i="5" s="1"/>
  <c r="P642" i="5"/>
  <c r="S642" i="5" s="1"/>
  <c r="N682" i="5"/>
  <c r="N684" i="5" s="1"/>
  <c r="P680" i="5"/>
  <c r="P15" i="5"/>
  <c r="N17" i="5"/>
  <c r="P31" i="5"/>
  <c r="N36" i="5"/>
  <c r="G652" i="5"/>
  <c r="G654" i="5" s="1"/>
  <c r="N948" i="5"/>
  <c r="P945" i="5"/>
  <c r="R945" i="5" s="1"/>
  <c r="T945" i="5" s="1"/>
  <c r="O213" i="5"/>
  <c r="P207" i="5"/>
  <c r="P211" i="5" s="1"/>
  <c r="P664" i="5"/>
  <c r="P370" i="5"/>
  <c r="N325" i="5"/>
  <c r="N327" i="5" s="1"/>
  <c r="P324" i="5"/>
  <c r="G599" i="5"/>
  <c r="G601" i="5" s="1"/>
  <c r="P362" i="5"/>
  <c r="N363" i="5"/>
  <c r="N365" i="5" s="1"/>
  <c r="P581" i="5"/>
  <c r="P586" i="5" s="1"/>
  <c r="N588" i="5"/>
  <c r="P477" i="5"/>
  <c r="N481" i="5"/>
  <c r="N483" i="5" s="1"/>
  <c r="P13" i="5"/>
  <c r="P676" i="5"/>
  <c r="P403" i="5"/>
  <c r="P710" i="5"/>
  <c r="P151" i="5"/>
  <c r="N153" i="5"/>
  <c r="N155" i="5" s="1"/>
  <c r="N740" i="5"/>
  <c r="N742" i="5" s="1"/>
  <c r="P739" i="5"/>
  <c r="S739" i="5" s="1"/>
  <c r="P957" i="5"/>
  <c r="N959" i="5"/>
  <c r="N473" i="5"/>
  <c r="N475" i="5" s="1"/>
  <c r="P469" i="5"/>
  <c r="N652" i="5"/>
  <c r="N654" i="5" s="1"/>
  <c r="P650" i="5"/>
  <c r="P282" i="5"/>
  <c r="P284" i="5" s="1"/>
  <c r="N286" i="5"/>
  <c r="P764" i="5"/>
  <c r="N770" i="5"/>
  <c r="N772" i="5" s="1"/>
  <c r="P590" i="5"/>
  <c r="N599" i="5"/>
  <c r="N601" i="5" s="1"/>
  <c r="G481" i="5"/>
  <c r="G483" i="5" s="1"/>
  <c r="P904" i="5"/>
  <c r="P566" i="5"/>
  <c r="N568" i="5"/>
  <c r="N570" i="5" s="1"/>
  <c r="P266" i="5"/>
  <c r="N267" i="5"/>
  <c r="N269" i="5" s="1"/>
  <c r="P614" i="5"/>
  <c r="N616" i="5"/>
  <c r="N618" i="5" s="1"/>
  <c r="P846" i="5"/>
  <c r="P856" i="5" s="1"/>
  <c r="P433" i="5"/>
  <c r="N434" i="5"/>
  <c r="N436" i="5" s="1"/>
  <c r="N941" i="5"/>
  <c r="P940" i="5"/>
  <c r="P687" i="5"/>
  <c r="P689" i="5" s="1"/>
  <c r="P509" i="5"/>
  <c r="N510" i="5"/>
  <c r="N512" i="5" s="1"/>
  <c r="O147" i="5"/>
  <c r="O149" i="5" s="1"/>
  <c r="P146" i="5"/>
  <c r="P900" i="5"/>
  <c r="J41" i="5"/>
  <c r="J49" i="5" s="1"/>
  <c r="P251" i="5"/>
  <c r="N621" i="5"/>
  <c r="N623" i="5" s="1"/>
  <c r="P620" i="5"/>
  <c r="P656" i="5"/>
  <c r="N657" i="5"/>
  <c r="N659" i="5" s="1"/>
  <c r="O144" i="5"/>
  <c r="P929" i="5"/>
  <c r="N931" i="5"/>
  <c r="P215" i="5"/>
  <c r="N217" i="5"/>
  <c r="N219" i="5" s="1"/>
  <c r="P961" i="5"/>
  <c r="N963" i="5"/>
  <c r="P696" i="5"/>
  <c r="N697" i="5"/>
  <c r="N699" i="5" s="1"/>
  <c r="P374" i="5"/>
  <c r="P795" i="5"/>
  <c r="P302" i="5"/>
  <c r="P305" i="5" s="1"/>
  <c r="P43" i="5"/>
  <c r="N47" i="5"/>
  <c r="P384" i="5"/>
  <c r="N386" i="5"/>
  <c r="N388" i="5" s="1"/>
  <c r="N262" i="5"/>
  <c r="N264" i="5" s="1"/>
  <c r="P256" i="5"/>
  <c r="R256" i="5" s="1"/>
  <c r="S256" i="5" s="1"/>
  <c r="P724" i="5"/>
  <c r="P514" i="5"/>
  <c r="N515" i="5"/>
  <c r="N517" i="5" s="1"/>
  <c r="P760" i="5"/>
  <c r="N486" i="5"/>
  <c r="N488" i="5" s="1"/>
  <c r="P485" i="5"/>
  <c r="O837" i="5"/>
  <c r="O839" i="5" s="1"/>
  <c r="P638" i="5"/>
  <c r="N640" i="5"/>
  <c r="P714" i="5"/>
  <c r="S714" i="5" s="1"/>
  <c r="O715" i="5"/>
  <c r="O717" i="5" s="1"/>
  <c r="G36" i="5"/>
  <c r="G49" i="5" s="1"/>
  <c r="P882" i="5"/>
  <c r="P970" i="5"/>
  <c r="N971" i="5"/>
  <c r="N976" i="5" s="1"/>
  <c r="P703" i="5"/>
  <c r="N705" i="5"/>
  <c r="N707" i="5" s="1"/>
  <c r="G646" i="5"/>
  <c r="G648" i="5" s="1"/>
  <c r="G74" i="12" s="1"/>
  <c r="N392" i="5"/>
  <c r="N394" i="5" s="1"/>
  <c r="P390" i="5"/>
  <c r="P187" i="5"/>
  <c r="S188" i="5" s="1"/>
  <c r="N189" i="5"/>
  <c r="N191" i="5" s="1"/>
  <c r="G547" i="5"/>
  <c r="G549" i="5" s="1"/>
  <c r="G63" i="12" s="1"/>
  <c r="P341" i="5"/>
  <c r="P246" i="5"/>
  <c r="N247" i="5"/>
  <c r="N249" i="5" s="1"/>
  <c r="P231" i="5"/>
  <c r="R231" i="5" s="1"/>
  <c r="S231" i="5" s="1"/>
  <c r="N237" i="5"/>
  <c r="N239" i="5" s="1"/>
  <c r="N750" i="5"/>
  <c r="N752" i="5" s="1"/>
  <c r="P749" i="5"/>
  <c r="P429" i="5"/>
  <c r="M47" i="5"/>
  <c r="M49" i="5" s="1"/>
  <c r="P171" i="5"/>
  <c r="N175" i="5"/>
  <c r="N177" i="5" s="1"/>
  <c r="N953" i="5"/>
  <c r="P950" i="5"/>
  <c r="R950" i="5" s="1"/>
  <c r="T950" i="5" s="1"/>
  <c r="N203" i="5"/>
  <c r="N205" i="5" s="1"/>
  <c r="P199" i="5"/>
  <c r="N866" i="5"/>
  <c r="N868" i="5" s="1"/>
  <c r="P865" i="5"/>
  <c r="N872" i="5"/>
  <c r="N874" i="5" s="1"/>
  <c r="P870" i="5"/>
  <c r="J262" i="5"/>
  <c r="J264" i="5" s="1"/>
  <c r="G10" i="16" s="1"/>
  <c r="P19" i="5"/>
  <c r="N22" i="5"/>
  <c r="P77" i="5"/>
  <c r="N103" i="5"/>
  <c r="N938" i="5"/>
  <c r="P935" i="5"/>
  <c r="N370" i="5"/>
  <c r="N372" i="5" s="1"/>
  <c r="P227" i="5"/>
  <c r="P157" i="5"/>
  <c r="N159" i="5"/>
  <c r="N161" i="5" s="1"/>
  <c r="N610" i="5"/>
  <c r="N612" i="5" s="1"/>
  <c r="P438" i="5"/>
  <c r="N439" i="5"/>
  <c r="N441" i="5" s="1"/>
  <c r="P241" i="5"/>
  <c r="N242" i="5"/>
  <c r="N244" i="5" s="1"/>
  <c r="P407" i="5"/>
  <c r="S407" i="5" s="1"/>
  <c r="N409" i="5"/>
  <c r="N411" i="5" s="1"/>
  <c r="N41" i="5"/>
  <c r="P38" i="5"/>
  <c r="P379" i="5"/>
  <c r="N380" i="5"/>
  <c r="N382" i="5" s="1"/>
  <c r="P552" i="5"/>
  <c r="P418" i="5"/>
  <c r="N424" i="5"/>
  <c r="N426" i="5" s="1"/>
  <c r="P536" i="5"/>
  <c r="N547" i="5"/>
  <c r="N549" i="5" s="1"/>
  <c r="N493" i="5"/>
  <c r="N495" i="5" s="1"/>
  <c r="N780" i="5"/>
  <c r="N782" i="5" s="1"/>
  <c r="P779" i="5"/>
  <c r="S779" i="5" s="1"/>
  <c r="N69" i="5"/>
  <c r="G183" i="5"/>
  <c r="G185" i="5" s="1"/>
  <c r="G15" i="14" s="1"/>
  <c r="N55" i="5"/>
  <c r="N57" i="5" s="1"/>
  <c r="P54" i="5"/>
  <c r="P334" i="5"/>
  <c r="G616" i="5"/>
  <c r="G618" i="5" s="1"/>
  <c r="G175" i="5"/>
  <c r="G177" i="5" s="1"/>
  <c r="P973" i="5"/>
  <c r="P330" i="5"/>
  <c r="F22" i="18" l="1"/>
  <c r="F26" i="18" s="1"/>
  <c r="J11" i="18"/>
  <c r="J10" i="18"/>
  <c r="J9" i="18"/>
  <c r="J8" i="18"/>
  <c r="E57" i="13"/>
  <c r="E40" i="13" s="1"/>
  <c r="F41" i="17"/>
  <c r="F44" i="17"/>
  <c r="D41" i="17"/>
  <c r="D44" i="17"/>
  <c r="I41" i="13"/>
  <c r="I43" i="13" s="1"/>
  <c r="E13" i="14"/>
  <c r="E12" i="13" s="1"/>
  <c r="P610" i="5"/>
  <c r="P612" i="5" s="1"/>
  <c r="S603" i="5"/>
  <c r="P493" i="5"/>
  <c r="P495" i="5" s="1"/>
  <c r="S490" i="5"/>
  <c r="P745" i="5"/>
  <c r="P747" i="5" s="1"/>
  <c r="S744" i="5"/>
  <c r="D37" i="16"/>
  <c r="D46" i="16" s="1"/>
  <c r="D49" i="16" s="1"/>
  <c r="D18" i="18"/>
  <c r="D33" i="15"/>
  <c r="D37" i="15" s="1"/>
  <c r="D41" i="15" s="1"/>
  <c r="D44" i="15" s="1"/>
  <c r="D30" i="13"/>
  <c r="D12" i="18"/>
  <c r="F37" i="16"/>
  <c r="F30" i="13"/>
  <c r="G22" i="14"/>
  <c r="E23" i="14"/>
  <c r="E22" i="14" s="1"/>
  <c r="G24" i="13"/>
  <c r="F33" i="15"/>
  <c r="F37" i="15" s="1"/>
  <c r="F15" i="18"/>
  <c r="F18" i="18" s="1"/>
  <c r="F19" i="18" s="1"/>
  <c r="G14" i="16"/>
  <c r="G10" i="18" s="1"/>
  <c r="G29" i="16"/>
  <c r="G18" i="12"/>
  <c r="E18" i="12" s="1"/>
  <c r="G52" i="12"/>
  <c r="E52" i="12" s="1"/>
  <c r="G51" i="12"/>
  <c r="E51" i="12" s="1"/>
  <c r="G31" i="12"/>
  <c r="E31" i="12" s="1"/>
  <c r="G50" i="12"/>
  <c r="E50" i="12" s="1"/>
  <c r="G34" i="12"/>
  <c r="E34" i="12" s="1"/>
  <c r="G13" i="12"/>
  <c r="E13" i="12" s="1"/>
  <c r="G71" i="12"/>
  <c r="E71" i="12" s="1"/>
  <c r="G49" i="12"/>
  <c r="E49" i="12" s="1"/>
  <c r="G77" i="12"/>
  <c r="E77" i="12" s="1"/>
  <c r="G10" i="12"/>
  <c r="G53" i="12"/>
  <c r="E53" i="12" s="1"/>
  <c r="G17" i="12"/>
  <c r="E17" i="12" s="1"/>
  <c r="G11" i="12"/>
  <c r="E11" i="12" s="1"/>
  <c r="G15" i="12"/>
  <c r="E15" i="12" s="1"/>
  <c r="G76" i="12"/>
  <c r="E76" i="12" s="1"/>
  <c r="E23" i="16"/>
  <c r="E29" i="16" s="1"/>
  <c r="G21" i="16"/>
  <c r="E29" i="15"/>
  <c r="G27" i="17"/>
  <c r="E27" i="17" s="1"/>
  <c r="G9" i="17"/>
  <c r="E9" i="17" s="1"/>
  <c r="G15" i="17"/>
  <c r="E15" i="17" s="1"/>
  <c r="G33" i="17"/>
  <c r="E33" i="17" s="1"/>
  <c r="G30" i="17"/>
  <c r="E30" i="17" s="1"/>
  <c r="G16" i="17"/>
  <c r="E16" i="17" s="1"/>
  <c r="E64" i="12"/>
  <c r="G29" i="15"/>
  <c r="E33" i="16"/>
  <c r="G25" i="15"/>
  <c r="E25" i="15"/>
  <c r="E37" i="17"/>
  <c r="G25" i="18"/>
  <c r="G14" i="13"/>
  <c r="E15" i="14"/>
  <c r="E14" i="13" s="1"/>
  <c r="G35" i="13"/>
  <c r="E28" i="14"/>
  <c r="E35" i="13" s="1"/>
  <c r="G24" i="18"/>
  <c r="E40" i="16"/>
  <c r="G34" i="13"/>
  <c r="E27" i="14"/>
  <c r="E34" i="13" s="1"/>
  <c r="G9" i="13"/>
  <c r="E10" i="14"/>
  <c r="G11" i="13"/>
  <c r="E12" i="14"/>
  <c r="E11" i="13" s="1"/>
  <c r="E10" i="16"/>
  <c r="E14" i="16" s="1"/>
  <c r="E10" i="18" s="1"/>
  <c r="G10" i="13"/>
  <c r="E11" i="14"/>
  <c r="E10" i="13" s="1"/>
  <c r="G16" i="13"/>
  <c r="E17" i="14"/>
  <c r="E16" i="13" s="1"/>
  <c r="G15" i="13"/>
  <c r="E16" i="14"/>
  <c r="E15" i="13" s="1"/>
  <c r="G13" i="13"/>
  <c r="E14" i="14"/>
  <c r="E13" i="13" s="1"/>
  <c r="E19" i="16"/>
  <c r="E21" i="16" s="1"/>
  <c r="P337" i="5"/>
  <c r="G40" i="17"/>
  <c r="G19" i="14"/>
  <c r="G41" i="16"/>
  <c r="N75" i="5"/>
  <c r="N968" i="5"/>
  <c r="P278" i="5"/>
  <c r="P280" i="5" s="1"/>
  <c r="N943" i="5"/>
  <c r="N955" i="5"/>
  <c r="P872" i="5"/>
  <c r="P29" i="5"/>
  <c r="P621" i="5"/>
  <c r="S621" i="5" s="1"/>
  <c r="P757" i="5"/>
  <c r="P507" i="5"/>
  <c r="P974" i="5"/>
  <c r="P229" i="5"/>
  <c r="P959" i="5"/>
  <c r="P500" i="5"/>
  <c r="P456" i="5"/>
  <c r="P740" i="5"/>
  <c r="P372" i="5"/>
  <c r="P682" i="5"/>
  <c r="P802" i="5"/>
  <c r="P787" i="5"/>
  <c r="P790" i="5"/>
  <c r="P877" i="5"/>
  <c r="P446" i="5"/>
  <c r="P750" i="5"/>
  <c r="P722" i="5"/>
  <c r="P971" i="5"/>
  <c r="P963" i="5"/>
  <c r="P941" i="5"/>
  <c r="P770" i="5"/>
  <c r="P481" i="5"/>
  <c r="P844" i="5"/>
  <c r="P927" i="5"/>
  <c r="P424" i="5"/>
  <c r="P242" i="5"/>
  <c r="P694" i="5"/>
  <c r="P866" i="5"/>
  <c r="P837" i="5"/>
  <c r="P267" i="5"/>
  <c r="P666" i="5"/>
  <c r="P416" i="5"/>
  <c r="P522" i="5"/>
  <c r="P222" i="5"/>
  <c r="P515" i="5"/>
  <c r="P826" i="5"/>
  <c r="P431" i="5"/>
  <c r="P252" i="5"/>
  <c r="P55" i="5"/>
  <c r="P57" i="5" s="1"/>
  <c r="P884" i="5"/>
  <c r="P312" i="5"/>
  <c r="P153" i="5"/>
  <c r="P554" i="5"/>
  <c r="P911" i="5"/>
  <c r="P203" i="5"/>
  <c r="P189" i="5"/>
  <c r="P575" i="5"/>
  <c r="P147" i="5"/>
  <c r="P434" i="5"/>
  <c r="P568" i="5"/>
  <c r="P646" i="5"/>
  <c r="P966" i="5"/>
  <c r="P183" i="5"/>
  <c r="P185" i="5" s="1"/>
  <c r="N933" i="5"/>
  <c r="P532" i="5"/>
  <c r="N144" i="5"/>
  <c r="P392" i="5"/>
  <c r="P737" i="5"/>
  <c r="P486" i="5"/>
  <c r="P47" i="5"/>
  <c r="P931" i="5"/>
  <c r="P712" i="5"/>
  <c r="P363" i="5"/>
  <c r="P948" i="5"/>
  <c r="P777" i="5"/>
  <c r="P833" i="5"/>
  <c r="P167" i="5"/>
  <c r="P922" i="5"/>
  <c r="P616" i="5"/>
  <c r="P725" i="5"/>
  <c r="P409" i="5"/>
  <c r="P562" i="5"/>
  <c r="P103" i="5"/>
  <c r="P144" i="5" s="1"/>
  <c r="P652" i="5"/>
  <c r="P780" i="5"/>
  <c r="N24" i="5"/>
  <c r="P669" i="5"/>
  <c r="P449" i="5"/>
  <c r="P465" i="5"/>
  <c r="P62" i="5"/>
  <c r="P75" i="5" s="1"/>
  <c r="P273" i="5"/>
  <c r="P547" i="5"/>
  <c r="P217" i="5"/>
  <c r="P439" i="5"/>
  <c r="P41" i="5"/>
  <c r="P197" i="5"/>
  <c r="P405" i="5"/>
  <c r="P22" i="5"/>
  <c r="P762" i="5"/>
  <c r="P797" i="5"/>
  <c r="P906" i="5"/>
  <c r="P473" i="5"/>
  <c r="N49" i="5"/>
  <c r="P559" i="5"/>
  <c r="P810" i="5"/>
  <c r="P817" i="5"/>
  <c r="P529" i="5"/>
  <c r="P715" i="5"/>
  <c r="P697" i="5"/>
  <c r="P599" i="5"/>
  <c r="P17" i="5"/>
  <c r="P315" i="5"/>
  <c r="P262" i="5"/>
  <c r="P938" i="5"/>
  <c r="P386" i="5"/>
  <c r="P380" i="5"/>
  <c r="P953" i="5"/>
  <c r="P237" i="5"/>
  <c r="P634" i="5"/>
  <c r="P730" i="5"/>
  <c r="P510" i="5"/>
  <c r="P894" i="5"/>
  <c r="P247" i="5"/>
  <c r="P657" i="5"/>
  <c r="P159" i="5"/>
  <c r="P175" i="5"/>
  <c r="P177" i="5" s="1"/>
  <c r="P342" i="5"/>
  <c r="P705" i="5"/>
  <c r="P375" i="5"/>
  <c r="P678" i="5"/>
  <c r="P325" i="5"/>
  <c r="P36" i="5"/>
  <c r="P322" i="5"/>
  <c r="P807" i="5"/>
  <c r="P861" i="5"/>
  <c r="P332" i="5"/>
  <c r="F27" i="18" l="1"/>
  <c r="F29" i="18" s="1"/>
  <c r="D37" i="13"/>
  <c r="D39" i="13"/>
  <c r="F37" i="13"/>
  <c r="F39" i="13"/>
  <c r="D19" i="18"/>
  <c r="D27" i="18" s="1"/>
  <c r="G29" i="14"/>
  <c r="G36" i="16"/>
  <c r="G16" i="18" s="1"/>
  <c r="G20" i="12"/>
  <c r="G22" i="13" s="1"/>
  <c r="E10" i="12"/>
  <c r="E20" i="12" s="1"/>
  <c r="E22" i="13" s="1"/>
  <c r="E18" i="17"/>
  <c r="G18" i="17"/>
  <c r="E36" i="16"/>
  <c r="E16" i="18" s="1"/>
  <c r="E36" i="13"/>
  <c r="E22" i="18" s="1"/>
  <c r="E41" i="16"/>
  <c r="E24" i="18"/>
  <c r="E29" i="14"/>
  <c r="G57" i="12"/>
  <c r="G25" i="13" s="1"/>
  <c r="E54" i="12"/>
  <c r="E57" i="12" s="1"/>
  <c r="E25" i="13" s="1"/>
  <c r="G78" i="12"/>
  <c r="G27" i="13" s="1"/>
  <c r="E74" i="12"/>
  <c r="E78" i="12" s="1"/>
  <c r="E27" i="13" s="1"/>
  <c r="G34" i="17"/>
  <c r="E31" i="17"/>
  <c r="E34" i="17" s="1"/>
  <c r="G17" i="15"/>
  <c r="G32" i="15" s="1"/>
  <c r="G15" i="18" s="1"/>
  <c r="E16" i="15"/>
  <c r="E17" i="15" s="1"/>
  <c r="E32" i="15" s="1"/>
  <c r="E15" i="18" s="1"/>
  <c r="E9" i="13"/>
  <c r="E19" i="14"/>
  <c r="G67" i="12"/>
  <c r="G26" i="13" s="1"/>
  <c r="E63" i="12"/>
  <c r="E67" i="12" s="1"/>
  <c r="E26" i="13" s="1"/>
  <c r="G11" i="15"/>
  <c r="G9" i="18" s="1"/>
  <c r="E9" i="15"/>
  <c r="E11" i="15" s="1"/>
  <c r="G42" i="12"/>
  <c r="G23" i="13" s="1"/>
  <c r="E39" i="12"/>
  <c r="E42" i="12" s="1"/>
  <c r="E23" i="13" s="1"/>
  <c r="E40" i="17"/>
  <c r="G36" i="13"/>
  <c r="P512" i="5"/>
  <c r="P24" i="5"/>
  <c r="P772" i="5"/>
  <c r="P671" i="5"/>
  <c r="P394" i="5"/>
  <c r="P155" i="5"/>
  <c r="P828" i="5"/>
  <c r="P49" i="5"/>
  <c r="P732" i="5"/>
  <c r="P943" i="5"/>
  <c r="P475" i="5"/>
  <c r="P549" i="5"/>
  <c r="P411" i="5"/>
  <c r="P169" i="5"/>
  <c r="P286" i="5"/>
  <c r="P570" i="5"/>
  <c r="P205" i="5"/>
  <c r="P517" i="5"/>
  <c r="P426" i="5"/>
  <c r="P879" i="5"/>
  <c r="P742" i="5"/>
  <c r="P648" i="5"/>
  <c r="P588" i="5"/>
  <c r="P344" i="5"/>
  <c r="P388" i="5"/>
  <c r="P451" i="5"/>
  <c r="P933" i="5"/>
  <c r="P244" i="5"/>
  <c r="P564" i="5"/>
  <c r="P717" i="5"/>
  <c r="P300" i="5"/>
  <c r="P269" i="5"/>
  <c r="P339" i="5"/>
  <c r="P327" i="5"/>
  <c r="P161" i="5"/>
  <c r="P264" i="5"/>
  <c r="P858" i="5"/>
  <c r="P436" i="5"/>
  <c r="P792" i="5"/>
  <c r="P699" i="5"/>
  <c r="P727" i="5"/>
  <c r="P502" i="5"/>
  <c r="P640" i="5"/>
  <c r="P275" i="5"/>
  <c r="P239" i="5"/>
  <c r="P149" i="5"/>
  <c r="P224" i="5"/>
  <c r="P839" i="5"/>
  <c r="P976" i="5"/>
  <c r="P441" i="5"/>
  <c r="P654" i="5"/>
  <c r="P307" i="5"/>
  <c r="P955" i="5"/>
  <c r="P707" i="5"/>
  <c r="P812" i="5"/>
  <c r="P360" i="5"/>
  <c r="P365" i="5"/>
  <c r="P191" i="5"/>
  <c r="P213" i="5"/>
  <c r="P254" i="5"/>
  <c r="P659" i="5"/>
  <c r="P782" i="5"/>
  <c r="P534" i="5"/>
  <c r="P317" i="5"/>
  <c r="P623" i="5"/>
  <c r="P377" i="5"/>
  <c r="P618" i="5"/>
  <c r="P863" i="5"/>
  <c r="P249" i="5"/>
  <c r="P524" i="5"/>
  <c r="P868" i="5"/>
  <c r="P968" i="5"/>
  <c r="P382" i="5"/>
  <c r="P601" i="5"/>
  <c r="P219" i="5"/>
  <c r="P467" i="5"/>
  <c r="P488" i="5"/>
  <c r="P483" i="5"/>
  <c r="P752" i="5"/>
  <c r="P684" i="5"/>
  <c r="P874" i="5"/>
  <c r="G22" i="18" l="1"/>
  <c r="G26" i="18" s="1"/>
  <c r="E17" i="18"/>
  <c r="E28" i="13"/>
  <c r="E29" i="13" s="1"/>
  <c r="E14" i="18" s="1"/>
  <c r="G11" i="18"/>
  <c r="G17" i="13"/>
  <c r="G19" i="13" s="1"/>
  <c r="G8" i="18" s="1"/>
  <c r="G17" i="18"/>
  <c r="G28" i="13"/>
  <c r="G29" i="13" s="1"/>
  <c r="G14" i="18" s="1"/>
  <c r="D41" i="13"/>
  <c r="D43" i="13" s="1"/>
  <c r="F41" i="13"/>
  <c r="F43" i="13" s="1"/>
  <c r="E11" i="18"/>
  <c r="E17" i="13"/>
  <c r="E19" i="13" s="1"/>
  <c r="E8" i="18" s="1"/>
  <c r="G37" i="16"/>
  <c r="E26" i="18"/>
  <c r="E37" i="16"/>
  <c r="G35" i="17"/>
  <c r="E9" i="18"/>
  <c r="E33" i="15"/>
  <c r="E37" i="15" s="1"/>
  <c r="E35" i="17"/>
  <c r="G33" i="15"/>
  <c r="G37" i="15" s="1"/>
  <c r="G30" i="13" l="1"/>
  <c r="G39" i="13" s="1"/>
  <c r="G12" i="18"/>
  <c r="G41" i="17"/>
  <c r="G44" i="17"/>
  <c r="E41" i="17"/>
  <c r="E44" i="17"/>
  <c r="G41" i="13"/>
  <c r="G43" i="13" s="1"/>
  <c r="E30" i="13"/>
  <c r="E39" i="13" s="1"/>
  <c r="G18" i="18"/>
  <c r="E12" i="18"/>
  <c r="G19" i="18" l="1"/>
  <c r="G27" i="18" s="1"/>
  <c r="G29" i="18" s="1"/>
  <c r="G37" i="13"/>
  <c r="E37" i="13"/>
  <c r="E41" i="13"/>
  <c r="E43" i="13" s="1"/>
  <c r="E18" i="18"/>
  <c r="E19" i="18" s="1"/>
  <c r="E27" i="18" s="1"/>
  <c r="E29" i="18" s="1"/>
  <c r="D28" i="18" s="1"/>
  <c r="D29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Borden Carleton Admin</author>
  </authors>
  <commentList>
    <comment ref="C247" authorId="0" shapeId="0" xr:uid="{A8FF3389-C8D9-4545-B812-050C30595C2B}">
      <text>
        <r>
          <rPr>
            <b/>
            <sz val="9"/>
            <color indexed="81"/>
            <rFont val="Tahoma"/>
            <family val="2"/>
          </rPr>
          <t>Borden Carleton 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Borden Carleton</author>
  </authors>
  <commentList>
    <comment ref="H62" authorId="0" shapeId="0" xr:uid="{CEF88B9B-7A82-4D66-9F74-F3C90C565198}">
      <text>
        <r>
          <rPr>
            <b/>
            <sz val="9"/>
            <color indexed="81"/>
            <rFont val="Tahoma"/>
            <family val="2"/>
          </rPr>
          <t>Interest from general Gov $14,600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Borden Carleton</author>
  </authors>
  <commentList>
    <comment ref="H14" authorId="0" shapeId="0" xr:uid="{2A8817A6-95D8-496E-A4B5-EAA927BC8B5A}">
      <text>
        <r>
          <rPr>
            <sz val="9"/>
            <color indexed="81"/>
            <rFont val="Tahoma"/>
            <family val="2"/>
          </rPr>
          <t xml:space="preserve"> Canada Summer Job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Borden Carleton</author>
  </authors>
  <commentList>
    <comment ref="G53" authorId="0" shapeId="0" xr:uid="{109B8BF9-5E30-44B0-B9AD-F9EBF7AEEE13}">
      <text>
        <r>
          <rPr>
            <b/>
            <sz val="9"/>
            <color indexed="81"/>
            <rFont val="Tahoma"/>
            <family val="2"/>
          </rPr>
          <t>Debit Acc 2851</t>
        </r>
      </text>
    </comment>
  </commentList>
</comments>
</file>

<file path=xl/sharedStrings.xml><?xml version="1.0" encoding="utf-8"?>
<sst xmlns="http://schemas.openxmlformats.org/spreadsheetml/2006/main" count="4353" uniqueCount="2503">
  <si>
    <t>Account</t>
  </si>
  <si>
    <t>1001 TOWN Credit Union Current Account</t>
  </si>
  <si>
    <t>1010 TOWN Petty Cash</t>
  </si>
  <si>
    <t>1015 TOWN Credit Union Share Account</t>
  </si>
  <si>
    <t>1025 TOWN Global Payment Card</t>
  </si>
  <si>
    <t>Town</t>
  </si>
  <si>
    <t>1001 WS Cash in bank</t>
  </si>
  <si>
    <t>1002 WS Cash on hand</t>
  </si>
  <si>
    <t>Water and Sewer</t>
  </si>
  <si>
    <t>1001 ARENA Credit Union Current Account</t>
  </si>
  <si>
    <t>1015 ARENA Credit Union Share Account</t>
  </si>
  <si>
    <t>1020 ARENA Petty Cash-Canteen Float</t>
  </si>
  <si>
    <t>Arena</t>
  </si>
  <si>
    <t>1020 TOWN Credit Union Share Acct Gas Tax 002</t>
  </si>
  <si>
    <t>A. 2   Restricted cash</t>
  </si>
  <si>
    <t>1200 TOWN Accounts Receivable</t>
  </si>
  <si>
    <t>1205 TOWN Accounts Receivable-Year End</t>
  </si>
  <si>
    <t>1300 TOWN GST Receivable</t>
  </si>
  <si>
    <t>2038 TOWN HST</t>
  </si>
  <si>
    <t>2070 TOWN GST Collected</t>
  </si>
  <si>
    <t>1200 WS Accounts Receivable</t>
  </si>
  <si>
    <t>1250 WS Allowance for D/A</t>
  </si>
  <si>
    <t>1300 WS GST Receivable</t>
  </si>
  <si>
    <t>1200 ARENA Accounts Receivable-Trade</t>
  </si>
  <si>
    <t>1210 ARENA Accounts Receivable-Other</t>
  </si>
  <si>
    <t>1300 ARENA GST Receivable</t>
  </si>
  <si>
    <t>2030 ARENA GST Payable</t>
  </si>
  <si>
    <t>C. 1   Accounts receivable</t>
  </si>
  <si>
    <t>1500 TOWN Prepaid expense</t>
  </si>
  <si>
    <t>1350 ARENA Inventory</t>
  </si>
  <si>
    <t>E. 1   Prepaid insurance</t>
  </si>
  <si>
    <t>1350 TOWN Due From/To Utility Revenue</t>
  </si>
  <si>
    <t>1351 TOWN Loan from Utility</t>
  </si>
  <si>
    <t>1450 TOWN Due to/from Gateway Arena</t>
  </si>
  <si>
    <t>1500 WS Due from(to) Town</t>
  </si>
  <si>
    <t>1501 WS Loan to Town</t>
  </si>
  <si>
    <t>1510 WS Due from/to Arena</t>
  </si>
  <si>
    <t>1550 WS Due From(To) Utility Cap-Sewer</t>
  </si>
  <si>
    <t>2755 WS Due to W&amp;S Revenue Fund</t>
  </si>
  <si>
    <t>1450 ARENA Due from/to General</t>
  </si>
  <si>
    <t>1460 ARENA Due from/to Utilities</t>
  </si>
  <si>
    <t>M. 1   Due from related parties</t>
  </si>
  <si>
    <t>1600 TOWN Real estate</t>
  </si>
  <si>
    <t>1604 TOWN Storage Building -Read Road</t>
  </si>
  <si>
    <t>1605 TOWN Investment in arena</t>
  </si>
  <si>
    <t>1606 TOWN Accum. Amortization Buildings</t>
  </si>
  <si>
    <t>1607 TOWN Bell Building</t>
  </si>
  <si>
    <t>1608 TOWN Buildings - General Government</t>
  </si>
  <si>
    <t>1625 TOWN Fire equipment</t>
  </si>
  <si>
    <t>1626 TOWN Accum. Amortization Fire Equipment</t>
  </si>
  <si>
    <t>1627 TOWN Fire Vehicles</t>
  </si>
  <si>
    <t>1628 TOWN Accum. Amortization Fire Vehicles</t>
  </si>
  <si>
    <t>1631 TOWN Fire Dept Electronic Equip</t>
  </si>
  <si>
    <t>1632 TOWN Accum. Amortization Fire Dept Equip</t>
  </si>
  <si>
    <t>1635 TOWN Computer equipment and software</t>
  </si>
  <si>
    <t>1641 TOWN General Gov't Electronic Equip</t>
  </si>
  <si>
    <t>1642 TOWN AccumAmortizationGeneralGov't Equip</t>
  </si>
  <si>
    <t>1656 TOWN Accum Amort - Gen Gov't Equip</t>
  </si>
  <si>
    <t>1660 TOWN Streets &amp; Sidewalks</t>
  </si>
  <si>
    <t>1661 TOWN Accum.Amortization Streets&amp;Sidewalk</t>
  </si>
  <si>
    <t>1662 TOWN Recreational Equipment</t>
  </si>
  <si>
    <t>1663 TOWN Accum. Amortization Rec Equipment</t>
  </si>
  <si>
    <t>1664 TOWN Fire Hall Expansion</t>
  </si>
  <si>
    <t>1666 TOWN Town Vehicles</t>
  </si>
  <si>
    <t>1667 TOWN Accum Amort - Town vehicles</t>
  </si>
  <si>
    <t>1668 TOWN Library Renovation</t>
  </si>
  <si>
    <t>1685 TOWN New Park</t>
  </si>
  <si>
    <t>1686 TOWN Accum Amortization Rail Park</t>
  </si>
  <si>
    <t>1700 WS 353 Land and Land Rights</t>
  </si>
  <si>
    <t>1705 WS 354 Structures and Improvements</t>
  </si>
  <si>
    <t>1710 WS 354 Accumulated Depreciation-S&amp;I</t>
  </si>
  <si>
    <t>1715 WS 382 Outfall Sewer Lines</t>
  </si>
  <si>
    <t>1720 WS 382 Accumulated Depreciation, OSL</t>
  </si>
  <si>
    <t>1725 WS 380Treatment and Disposal Equipment</t>
  </si>
  <si>
    <t>1730 WS 380 Accumulated Depreciation-T&amp;DE</t>
  </si>
  <si>
    <t>1732 WS 371 Pumping Equipment</t>
  </si>
  <si>
    <t>1734 WS 371 Acc Deprec Pumping Equip</t>
  </si>
  <si>
    <t>1736 WS 389 Other Plant&amp;Misc Equip</t>
  </si>
  <si>
    <t>1738 WS 389 Acc Deprec Other Plant Equip</t>
  </si>
  <si>
    <t>1740 WS Bldg - sewer</t>
  </si>
  <si>
    <t>1745 WS A/A - Bldg sewer</t>
  </si>
  <si>
    <t>1760 WS 334 Meters</t>
  </si>
  <si>
    <t>1765 WS 334 Accumulated Depreciation-Meters</t>
  </si>
  <si>
    <t>1770 WS 304 Structures and Improvements</t>
  </si>
  <si>
    <t>1775 WS 304 Accumulated Depreciation-S&amp;I</t>
  </si>
  <si>
    <t>1778 WS Land - water</t>
  </si>
  <si>
    <t>1779 WS land - sewer</t>
  </si>
  <si>
    <t>1780 WS 307 Wells and Springs</t>
  </si>
  <si>
    <t>1785 WS 307 Accumulated Depreciation-W&amp;S</t>
  </si>
  <si>
    <t>1790 WS 309 Supply Mains</t>
  </si>
  <si>
    <t>1795 WS 309 Accumulated Depreciation-SM</t>
  </si>
  <si>
    <t>1800 WS 311 Pumping equipment</t>
  </si>
  <si>
    <t>1805 WS 311 Accumulated Depreciation-PE</t>
  </si>
  <si>
    <t>1810 WS 335 Hydrants</t>
  </si>
  <si>
    <t>1815 WS 335 Accumulated Depreciation-Hydra</t>
  </si>
  <si>
    <t>1820 WS 320 Water treatment equipment</t>
  </si>
  <si>
    <t>1825 WS 320 acc. depr. Water treatment equi</t>
  </si>
  <si>
    <t>1830 WS 330 Distribution resevoir &amp; standpi</t>
  </si>
  <si>
    <t>1835 WS 330 Acc. depr. distribution resevo</t>
  </si>
  <si>
    <t>1840 WS Bldg - water</t>
  </si>
  <si>
    <t>1845 WS A/A - Bldg - water</t>
  </si>
  <si>
    <t>1550 ARENA Equipment</t>
  </si>
  <si>
    <t>1555 ARENA Accumulated Depreciation-Equipment</t>
  </si>
  <si>
    <t>S. 1   Tangible capital assets</t>
  </si>
  <si>
    <t>4010 TOWN PropertyTax</t>
  </si>
  <si>
    <t>20. 1   Property taxes</t>
  </si>
  <si>
    <t>4020 TOWN Grants - Municipal Support</t>
  </si>
  <si>
    <t>4035 TOWN Provincial top up grant</t>
  </si>
  <si>
    <t>20. 2   Grants - equalization</t>
  </si>
  <si>
    <t>4060 TOWN Grants- Recreation Leadership</t>
  </si>
  <si>
    <t>4062 TOWN Grants, Recreation-Ballfield Improv</t>
  </si>
  <si>
    <t>20. 3   Grants - recreation</t>
  </si>
  <si>
    <t>4011 TOWN Surplus from Previous Year</t>
  </si>
  <si>
    <t>4030 TOWN Grants- Job Creation General</t>
  </si>
  <si>
    <t>4045 TOWN Grants - other</t>
  </si>
  <si>
    <t>4050 TOWN Grants- Job Creation Recreation</t>
  </si>
  <si>
    <t>20. 4   Grants - job creation</t>
  </si>
  <si>
    <t>4025 TOWN Grants - Gas Tax</t>
  </si>
  <si>
    <t>4042 TOWN Grants - MCEG</t>
  </si>
  <si>
    <t>4133 TOWN Reimbursment</t>
  </si>
  <si>
    <t>4300 TOWN Gov't transfers for Capital</t>
  </si>
  <si>
    <t>20. 5   Grants - other</t>
  </si>
  <si>
    <t>4061 TOWN Grants-Recreation, Canada Day</t>
  </si>
  <si>
    <t>4192 TOWN Donations Canada Day Festivities</t>
  </si>
  <si>
    <t>4193 TOWN Donations General</t>
  </si>
  <si>
    <t>20. 6   Donations</t>
  </si>
  <si>
    <t>4180 TOWN Fire Dues</t>
  </si>
  <si>
    <t>4190 TOWN Fire Dues- SCBL</t>
  </si>
  <si>
    <t>20. 8   Fire dues</t>
  </si>
  <si>
    <t>4160 TOWN Fines</t>
  </si>
  <si>
    <t>4203 TOWN Fees - Municipal Election</t>
  </si>
  <si>
    <t>20. 9   Fines and fees</t>
  </si>
  <si>
    <t>4204 TOWN Fees-Residential Building Permits</t>
  </si>
  <si>
    <t>4210 TOWN Licenses &amp; Permits-Mixed</t>
  </si>
  <si>
    <t>4211 TOWN Subdivision Fees</t>
  </si>
  <si>
    <t>4213 TOWN Rezoning Fees</t>
  </si>
  <si>
    <t>20.11   Licenses and permits</t>
  </si>
  <si>
    <t>4220 TOWN Interest</t>
  </si>
  <si>
    <t>4230 TOWN Summer Program Registration</t>
  </si>
  <si>
    <t>4245 TOWN Misc Revenue</t>
  </si>
  <si>
    <t>20.13   Miscellaneous</t>
  </si>
  <si>
    <t>4150 TOWN Sale of Police Equipment</t>
  </si>
  <si>
    <t>4166 TOWN Sale of Town Assets(items)</t>
  </si>
  <si>
    <t>20.14   Sale of assets</t>
  </si>
  <si>
    <t>4400 TOWN Government transfers for operations</t>
  </si>
  <si>
    <t>20.15   Government transfers for operations</t>
  </si>
  <si>
    <t>4011 WS Residential Sewage Income</t>
  </si>
  <si>
    <t>21. 1   Residential income</t>
  </si>
  <si>
    <t>4015 WS Sewer Commodity Charge</t>
  </si>
  <si>
    <t>4016 WS 2" Meter Sewer</t>
  </si>
  <si>
    <t>4017 WS 1 1/2" Meter Sewer</t>
  </si>
  <si>
    <t>4018 WS 1" Meter Sewer</t>
  </si>
  <si>
    <t>4019 WS 3/4" Meter Sewer</t>
  </si>
  <si>
    <t>4021 WS 1 Commercial Sewage Income</t>
  </si>
  <si>
    <t>21. 2   Commercial income</t>
  </si>
  <si>
    <t>4200 WS Government transfers for capital - sewer</t>
  </si>
  <si>
    <t>4212 WS 2 Residential Water Income</t>
  </si>
  <si>
    <t>22. 1   Residential income</t>
  </si>
  <si>
    <t>4216 WS Water Commodity Charge</t>
  </si>
  <si>
    <t>4217 WS 2" Meter Water</t>
  </si>
  <si>
    <t>4218 WS 1 1/2" Meter Water</t>
  </si>
  <si>
    <t>4219 WS 1" Meter Water</t>
  </si>
  <si>
    <t>4220 WS 3/4" Meter Water</t>
  </si>
  <si>
    <t>4222 WS 2 Commercial Water Income</t>
  </si>
  <si>
    <t>22. 2   Commercial income</t>
  </si>
  <si>
    <t>4223 WS Public Fire Protection Service</t>
  </si>
  <si>
    <t>22. 3   Public fire protection service</t>
  </si>
  <si>
    <t>4033 WS Interest Water &amp; Sewer</t>
  </si>
  <si>
    <t>4231 WS Interest-Water</t>
  </si>
  <si>
    <t>22. 5   Interest</t>
  </si>
  <si>
    <t>4251 WS Inspection/Connection Fess-Water</t>
  </si>
  <si>
    <t>22. 6   Inspection/connection fees</t>
  </si>
  <si>
    <t>4200 ARENA Donations</t>
  </si>
  <si>
    <t>23. 1   Donations</t>
  </si>
  <si>
    <t>4002 ARENA Ice Revenue</t>
  </si>
  <si>
    <t>4010 ARENA Ice Rental-Minor Hockey</t>
  </si>
  <si>
    <t>4030 ARENA Ice Rentals-Miscellaneous</t>
  </si>
  <si>
    <t>4040 ARENA Ice Rentals-Ladies Rec</t>
  </si>
  <si>
    <t>4070 ARENA Ice Rental</t>
  </si>
  <si>
    <t>4075 ARENA Ringette</t>
  </si>
  <si>
    <t>4085 ARENA Ice rental- Oldtimers</t>
  </si>
  <si>
    <t>4150 ARENA Arena Rentals</t>
  </si>
  <si>
    <t>4420 ARENA Heater Rental</t>
  </si>
  <si>
    <t>23. 2   Ice rentals</t>
  </si>
  <si>
    <t>4600 ARENA Revenue - Gas Tax</t>
  </si>
  <si>
    <t>23. 3   Govt transfers</t>
  </si>
  <si>
    <t>4185 ARENA Province of PEI - Other</t>
  </si>
  <si>
    <t>23. 5   Grant - Province of PEI</t>
  </si>
  <si>
    <t>4180 ARENA Grants-Arena Support Prov. PEI</t>
  </si>
  <si>
    <t>23. 6   Grants - recreation</t>
  </si>
  <si>
    <t>4190 ARENA Grants-Salaries</t>
  </si>
  <si>
    <t>23. 7   Grants - salaries</t>
  </si>
  <si>
    <t>4500 ARENA Canteen Sales</t>
  </si>
  <si>
    <t>23. 9   Canteen sales</t>
  </si>
  <si>
    <t>4171 ARENA Gym - Membership fees</t>
  </si>
  <si>
    <t>23.11   Gym membership fees</t>
  </si>
  <si>
    <t>4170 ARENA Miscellaneous Revenue</t>
  </si>
  <si>
    <t>4205 ARENA Interest Income</t>
  </si>
  <si>
    <t>23.12   Miscellaneous</t>
  </si>
  <si>
    <t>4160 ARENA Sign Rentals</t>
  </si>
  <si>
    <t>23.13   Signange</t>
  </si>
  <si>
    <t>5307 TOWN Staff Deductions</t>
  </si>
  <si>
    <t>5309 TOWN Worker's Compensation</t>
  </si>
  <si>
    <t>5311 TOWN Bonuses</t>
  </si>
  <si>
    <t>5314 TOWN Health Benefit Plan - RWAM</t>
  </si>
  <si>
    <t>5391 TOWN Wages &amp; Salaries</t>
  </si>
  <si>
    <t>5392 TOWN CPP Expense</t>
  </si>
  <si>
    <t>5393 TOWN EI Expense</t>
  </si>
  <si>
    <t>5396 TOWN Disability Insurance Deducted</t>
  </si>
  <si>
    <t>5812 TOWN Bonuses</t>
  </si>
  <si>
    <t>40. 1   Salary and benefits</t>
  </si>
  <si>
    <t>5329 TOWN Equipment Lease Xerox</t>
  </si>
  <si>
    <t>40. 3   Equipment rental</t>
  </si>
  <si>
    <t>5343 TOWN Professional Fees- Audit</t>
  </si>
  <si>
    <t>5344 TOWN Professional Fees - Other</t>
  </si>
  <si>
    <t>5345 TOWN Professional Fees - Legal</t>
  </si>
  <si>
    <t>40. 5   Professional fees</t>
  </si>
  <si>
    <t>5378 TOWN Town Miscellaneous</t>
  </si>
  <si>
    <t>40. 6   Miscellaneous</t>
  </si>
  <si>
    <t>5350 TOWN Rent - Municipal Office</t>
  </si>
  <si>
    <t>40. 7   Rent</t>
  </si>
  <si>
    <t>5351 TOWN Advertising</t>
  </si>
  <si>
    <t>5353 TOWN Donations/Scholarship/Prizes</t>
  </si>
  <si>
    <t>40. 8   Advertising and donations</t>
  </si>
  <si>
    <t>5355 TOWN Conference &amp; Travel</t>
  </si>
  <si>
    <t>5383 TOWN meal expense</t>
  </si>
  <si>
    <t>40. 9   Conference and travel</t>
  </si>
  <si>
    <t>5325 TOWN Office Cell Phones</t>
  </si>
  <si>
    <t>5327 TOWN Telephone &amp; Internet</t>
  </si>
  <si>
    <t>40.11   Telephone</t>
  </si>
  <si>
    <t>5346 TOWN Office snow removal</t>
  </si>
  <si>
    <t>40.13   Repairs and maintenance</t>
  </si>
  <si>
    <t>5357 TOWN Insurance</t>
  </si>
  <si>
    <t>5358 TOWN Insurance John Deere Tractor</t>
  </si>
  <si>
    <t>40.15   Liability insurance</t>
  </si>
  <si>
    <t>5337 TOWN Interest &amp; Service Charges</t>
  </si>
  <si>
    <t>40.16   Interest and bank charges</t>
  </si>
  <si>
    <t>5095 TOWN Secure Document Shredding</t>
  </si>
  <si>
    <t>5330 TOWN Software</t>
  </si>
  <si>
    <t>5362 TOWN Office Supplies</t>
  </si>
  <si>
    <t>5363 TOWN Postage and Courier</t>
  </si>
  <si>
    <t>5364 TOWN Postage</t>
  </si>
  <si>
    <t>5365 TOWN Computer Repairs &amp; Main.</t>
  </si>
  <si>
    <t>40.17   Office supplies and postage</t>
  </si>
  <si>
    <t>5375 TOWN Memberships and Dues</t>
  </si>
  <si>
    <t>40.24   Memberships and dues</t>
  </si>
  <si>
    <t>5376 TOWN Community Special Events</t>
  </si>
  <si>
    <t>40.25   Community events</t>
  </si>
  <si>
    <t>5367 TOWN Honariums - Guaranteed</t>
  </si>
  <si>
    <t>40.27   Honorariums</t>
  </si>
  <si>
    <t>5310 TOWN Depreciation - General Gov't</t>
  </si>
  <si>
    <t>40.30   Amortization of tangible capital assets</t>
  </si>
  <si>
    <t>5387 TOWN Utility Share of General</t>
  </si>
  <si>
    <t>40.34   Portion allocated to sewerage and water</t>
  </si>
  <si>
    <t>5372 TOWN Mun Property Tax Rebates</t>
  </si>
  <si>
    <t>40.37   Property tax rebate</t>
  </si>
  <si>
    <t>5381 TOWN Election Expenses</t>
  </si>
  <si>
    <t>40.42   Election expenses</t>
  </si>
  <si>
    <t>5202 TOWN Fire Dept Supper</t>
  </si>
  <si>
    <t>5253 TOWN Training-Fire Department</t>
  </si>
  <si>
    <t>41. 9   Convention and training</t>
  </si>
  <si>
    <t>5206 TOWN Telephone-Fire Department</t>
  </si>
  <si>
    <t>5209 TOWN Answering Service-Fire Department</t>
  </si>
  <si>
    <t>5215 TOWN Pagers-Fire Department</t>
  </si>
  <si>
    <t>5216 TOWN Radio System-Fire Service</t>
  </si>
  <si>
    <t>41.11   Telephone</t>
  </si>
  <si>
    <t>5233 TOWN Truck Gas &amp; Oil-Fire Department</t>
  </si>
  <si>
    <t>5236 TOWN Truck Repairs-Fire Department</t>
  </si>
  <si>
    <t>5239 TOWN Repairs &amp; Maintenance-Fire Depart</t>
  </si>
  <si>
    <t>5271 TOWN Equipment Repairs-Fire Department</t>
  </si>
  <si>
    <t>41.13   Gas, oil and repairs</t>
  </si>
  <si>
    <t>5224 TOWN Interest on Long Term Debt-Fire</t>
  </si>
  <si>
    <t>41.14   Interest on long term debt</t>
  </si>
  <si>
    <t>5256 TOWN Insurance-Fire Department</t>
  </si>
  <si>
    <t>5259 TOWN Insurance - Equipment-Fire Depart</t>
  </si>
  <si>
    <t>5262 TOWN Insurance Vehicle-Fire Department</t>
  </si>
  <si>
    <t>41.15   Insurance</t>
  </si>
  <si>
    <t>5218 TOWN Supplies-Fire Department</t>
  </si>
  <si>
    <t>5244 TOWN Uniforms-Fire Department</t>
  </si>
  <si>
    <t>5268 TOWN Fire Equipment-Fire Department</t>
  </si>
  <si>
    <t>41.18   Supplies</t>
  </si>
  <si>
    <t>5203 TOWN Honorariums-Fire Department</t>
  </si>
  <si>
    <t>41.27   Honorariums</t>
  </si>
  <si>
    <t>5291 TOWN Water-Charge/Fire Department</t>
  </si>
  <si>
    <t>41.29   Water charge</t>
  </si>
  <si>
    <t>5293 TOWN Depreciation - Fire Dept</t>
  </si>
  <si>
    <t>41.30   Amortization of tangible capital assets</t>
  </si>
  <si>
    <t>5247 TOWN Advertising-Fire Department</t>
  </si>
  <si>
    <t>5265 TOWN Licenses-Fire Department</t>
  </si>
  <si>
    <t>5286 TOWN Miscellaneous-Fire Department</t>
  </si>
  <si>
    <t>41.31   Miscellaneous</t>
  </si>
  <si>
    <t>5289 TOWN Share of Building- Fire Department</t>
  </si>
  <si>
    <t>41.34   Portion of civic building costs</t>
  </si>
  <si>
    <t>5004 TOWN Police-Contract</t>
  </si>
  <si>
    <t>42.35   Police Protection</t>
  </si>
  <si>
    <t>5333 TOWN Equipment Repairs</t>
  </si>
  <si>
    <t>5334 TOWN Repairs &amp; Maintenance - Town</t>
  </si>
  <si>
    <t>5361 TOWN Supplies</t>
  </si>
  <si>
    <t>5709 TOWN Read Rd Supplies</t>
  </si>
  <si>
    <t>5758 TOWN Grass Cutting-Other</t>
  </si>
  <si>
    <t>5760 TOWN Garbage Pickup-Other</t>
  </si>
  <si>
    <t>5882 TOWN Repairs and Maintenance-Playground</t>
  </si>
  <si>
    <t>5906 TOWN Sidewalk Maintenance</t>
  </si>
  <si>
    <t>5912 TOWN Street Signs</t>
  </si>
  <si>
    <t>5915 TOWN Street Repairs</t>
  </si>
  <si>
    <t>5918 TOWN Streets - Boardwalk</t>
  </si>
  <si>
    <t>43.13   Street repairs</t>
  </si>
  <si>
    <t>5339 TOWN Interest on Long term Debt</t>
  </si>
  <si>
    <t>43.14   Interest on long term debt</t>
  </si>
  <si>
    <t>5903 TOWN Electricity - Street Lights</t>
  </si>
  <si>
    <t>43.21   Electricity</t>
  </si>
  <si>
    <t>5909 TOWN Snow Removal-Streets</t>
  </si>
  <si>
    <t>43.28   Snow removal</t>
  </si>
  <si>
    <t>5348 TOWN John Deere Tractor  Desiel&amp;Repairs</t>
  </si>
  <si>
    <t>5356 TOWN Truck Allowance Mtce Man</t>
  </si>
  <si>
    <t>43.29   Tractor gas and repairs</t>
  </si>
  <si>
    <t>5919 TOWN Depreciation - Streets &amp; Sidewalks</t>
  </si>
  <si>
    <t>43.30   Amortization of tangible capital assets</t>
  </si>
  <si>
    <t>5670 TOWN Property Taxes-240 Borden Avenue</t>
  </si>
  <si>
    <t>5762 TOWN Property taxes - Old Abby lot</t>
  </si>
  <si>
    <t>5763 TOWN Property Misc.</t>
  </si>
  <si>
    <t>5768 TOWN Larkin Repairs &amp; Maintenance</t>
  </si>
  <si>
    <t>44.12   Property tax - other properties</t>
  </si>
  <si>
    <t>5502 TOWN Electricity-Bell Building</t>
  </si>
  <si>
    <t>5512 TOWN Heating Fuel- Bell Building</t>
  </si>
  <si>
    <t>5514 TOWN Repairs &amp; Maintenance-Bell Building</t>
  </si>
  <si>
    <t>5516 TOWN Snow Removal-Bell Building</t>
  </si>
  <si>
    <t>5522 TOWN Landscaping/ Flowers-Bell Building</t>
  </si>
  <si>
    <t>5524 TOWN Property Tax - Bell Building</t>
  </si>
  <si>
    <t>5526 TOWN Utility Expense- Bell Building</t>
  </si>
  <si>
    <t>5528 TOWN Insurance- Bell Building</t>
  </si>
  <si>
    <t>5532 TOWN Janitorial Service-Bell Building</t>
  </si>
  <si>
    <t>44.28   Civic building</t>
  </si>
  <si>
    <t>5624 TOWN Insurance - Marine rail park</t>
  </si>
  <si>
    <t>5625 TOWN Marine Rail Park - Supplies</t>
  </si>
  <si>
    <t>5626 TOWN Marine Rail Park - R&amp;M</t>
  </si>
  <si>
    <t>5627 TOWN Marine Rail Park- Caboose</t>
  </si>
  <si>
    <t>5628 TOWN Marine Rail Park-Electricity</t>
  </si>
  <si>
    <t>5629 TOWN Marine Rail Park-Property Tax</t>
  </si>
  <si>
    <t>5630 TOWN Marine Rail Park- Utilities</t>
  </si>
  <si>
    <t>5633 TOWN Flowers Rail Park</t>
  </si>
  <si>
    <t>44.29   Marine rail park</t>
  </si>
  <si>
    <t>5831 TOWN Library Supplies</t>
  </si>
  <si>
    <t>44.33   Library</t>
  </si>
  <si>
    <t>44.34   Department allocation - civic buildin</t>
  </si>
  <si>
    <t>5702 TOWN Repairs &amp; Maintenance-Read Road</t>
  </si>
  <si>
    <t>5703 TOWN Insurance Storage Bldg - Read Road</t>
  </si>
  <si>
    <t>5704 TOWN Heat Read Road</t>
  </si>
  <si>
    <t>5705 TOWN Electricity - Read Road</t>
  </si>
  <si>
    <t>5706 TOWN Repairs &amp; Maintenance - Shop</t>
  </si>
  <si>
    <t>5708 TOWN Property Tax-Read Road</t>
  </si>
  <si>
    <t>44.36   Maintenance building</t>
  </si>
  <si>
    <t>5501 TOWN Planning - Development Officer</t>
  </si>
  <si>
    <t>44.38   Development officer</t>
  </si>
  <si>
    <t>5803 TOWN Wages - Permanent Rec Employees</t>
  </si>
  <si>
    <t>5827 TOWN Canada Pension Plan - Rec</t>
  </si>
  <si>
    <t>5830 TOWN Employment Insurance - Rec</t>
  </si>
  <si>
    <t>45. 1   Salaries and benefits</t>
  </si>
  <si>
    <t>5349 TOWN Zero Turn Repairs &amp; Main</t>
  </si>
  <si>
    <t>5848 TOWN Ballfield Repairs &amp; Maintenance</t>
  </si>
  <si>
    <t>5842 TOWN Interest on Long term Debt</t>
  </si>
  <si>
    <t>45.14   Interest on long term debt</t>
  </si>
  <si>
    <t>5839 TOWN Supplies &amp; Equipment</t>
  </si>
  <si>
    <t>5872 TOWN Programs and Supplies</t>
  </si>
  <si>
    <t>5873 TOWN Day Camp Expenses</t>
  </si>
  <si>
    <t>5895 TOWN Depreciation - Recreation</t>
  </si>
  <si>
    <t>45.30   Amortization of tangible capital assets</t>
  </si>
  <si>
    <t>5875 TOWN Travel</t>
  </si>
  <si>
    <t>5877 TOWN Conference and Training-Recreation</t>
  </si>
  <si>
    <t>5887 TOWN Membership Fees-Recreation</t>
  </si>
  <si>
    <t>45.33   Entertainment</t>
  </si>
  <si>
    <t>5869 TOWN Special Events</t>
  </si>
  <si>
    <t>5896 TOWN Canada Day Expense</t>
  </si>
  <si>
    <t>45.35   Special events</t>
  </si>
  <si>
    <t>5503 WS Water Sewer Contract</t>
  </si>
  <si>
    <t>46. 1   Salaries and wages</t>
  </si>
  <si>
    <t>5343 WS Professional fees - Sewer</t>
  </si>
  <si>
    <t>46. 5   Professional fees</t>
  </si>
  <si>
    <t>5051 WS Property Tax - Sewer</t>
  </si>
  <si>
    <t>46.12   Property taxes</t>
  </si>
  <si>
    <t>5012 WS Telephone for UV lights</t>
  </si>
  <si>
    <t>5041 WS Repairs &amp; Maintenance Sewer</t>
  </si>
  <si>
    <t>5058 WS Grass cutting Sewer</t>
  </si>
  <si>
    <t>5071 WS Supplies - Sewer</t>
  </si>
  <si>
    <t>46.13   Repairs and maintenance</t>
  </si>
  <si>
    <t>5021 WS Interest on Capital Debt</t>
  </si>
  <si>
    <t>46.14   Interest on long term debt</t>
  </si>
  <si>
    <t>5061 WS Insurance</t>
  </si>
  <si>
    <t>46.15   Insurance</t>
  </si>
  <si>
    <t>5011 WS Interest &amp; Bank Charges Sewer</t>
  </si>
  <si>
    <t>46.16   Interest and bank service charges</t>
  </si>
  <si>
    <t>5025 WS Bad Debts-Sewer</t>
  </si>
  <si>
    <t>46.20   Bad debts</t>
  </si>
  <si>
    <t>5001 WS Electricity - Sewer</t>
  </si>
  <si>
    <t>46.21   Electricity</t>
  </si>
  <si>
    <t>5081 WS Memberships&amp; Dues Sewer</t>
  </si>
  <si>
    <t>46.24   Memberships and dues</t>
  </si>
  <si>
    <t>5031 WS Depreciation Sewer</t>
  </si>
  <si>
    <t>46.30   Amortization of tangible capital assets</t>
  </si>
  <si>
    <t>5091 WS General Share Sewer</t>
  </si>
  <si>
    <t>46.34   Allocation from general government</t>
  </si>
  <si>
    <t>5502 WS Water Sewer Contract</t>
  </si>
  <si>
    <t>47. 1   Salaries and wages</t>
  </si>
  <si>
    <t>5613 WS Professional Fees - Water</t>
  </si>
  <si>
    <t>47. 5   Professional fees</t>
  </si>
  <si>
    <t>5611 WS Property Taxes-Water</t>
  </si>
  <si>
    <t>47.12   Property taxes</t>
  </si>
  <si>
    <t>5003 WS Internet for Pump House</t>
  </si>
  <si>
    <t>5072 WS Supplies Water</t>
  </si>
  <si>
    <t>5501 WS Telephone - Water</t>
  </si>
  <si>
    <t>5551 WS Repairs &amp; Maintenace Water</t>
  </si>
  <si>
    <t>5562 WS Software &amp; Computer Repairs</t>
  </si>
  <si>
    <t>5591 WS Shipping Costs-Water Samples</t>
  </si>
  <si>
    <t>47.13   Repairs and maintenance</t>
  </si>
  <si>
    <t>5531 WS Interest on Capital Debt</t>
  </si>
  <si>
    <t>47.14   Interest on long term debt</t>
  </si>
  <si>
    <t>5561 WS Insurance-Water</t>
  </si>
  <si>
    <t>47.15   Insurance</t>
  </si>
  <si>
    <t>5521 WS Interest &amp; Bank Charges Water</t>
  </si>
  <si>
    <t>47.16   Interest and bank charges</t>
  </si>
  <si>
    <t>5590 WS Water Testing Expense</t>
  </si>
  <si>
    <t>47.18   Water testing</t>
  </si>
  <si>
    <t>5535 WS Bad Debt-Water</t>
  </si>
  <si>
    <t>47.20   Bad debts</t>
  </si>
  <si>
    <t>5511 WS Electricity - Water</t>
  </si>
  <si>
    <t>47.21   Electricity</t>
  </si>
  <si>
    <t>5571 WS Memberships &amp; Dues Water</t>
  </si>
  <si>
    <t>47.24   Memberships and dues</t>
  </si>
  <si>
    <t>5541 WS Depreciation Water</t>
  </si>
  <si>
    <t>47.30   Amortization of tangible capital assets</t>
  </si>
  <si>
    <t>5581 WS General Share Water</t>
  </si>
  <si>
    <t>47.34   Allocation from general government</t>
  </si>
  <si>
    <t>5001 ARENA Wages-Arena</t>
  </si>
  <si>
    <t>5012 ARENA CPP Expense</t>
  </si>
  <si>
    <t>5015 ARENA EI Expense</t>
  </si>
  <si>
    <t>5018 ARENA Bonuses</t>
  </si>
  <si>
    <t>5510 ARENA Wages &amp; Salaries-Canteen</t>
  </si>
  <si>
    <t>5530 ARENA CPP Expense-Canteen</t>
  </si>
  <si>
    <t>5540 ARENA EI Expense-Canteen</t>
  </si>
  <si>
    <t>48. 1   Wages</t>
  </si>
  <si>
    <t>5045 ARENA Professional Fees - Energy Audit</t>
  </si>
  <si>
    <t>48. 5   Professional fees</t>
  </si>
  <si>
    <t>5033 ARENA Telephone</t>
  </si>
  <si>
    <t>5575 ARENA Telephone-Canteen</t>
  </si>
  <si>
    <t>48.11   Telephone</t>
  </si>
  <si>
    <t>5051 ARENA Property Taxes &amp; Utilities</t>
  </si>
  <si>
    <t>48.12   Property taxes</t>
  </si>
  <si>
    <t>5024 ARENA Zamboni gas&amp; Repairs</t>
  </si>
  <si>
    <t>5025 ARENA Edger repairs &amp; fuel</t>
  </si>
  <si>
    <t>5027 ARENA Ice Making (Start-up)</t>
  </si>
  <si>
    <t>5030 ARENA Plant Maintenance</t>
  </si>
  <si>
    <t>5036 ARENA Supplies</t>
  </si>
  <si>
    <t>5061 ARENA Security Fees</t>
  </si>
  <si>
    <t>5075 ARENA Maintenance &amp; Repairs</t>
  </si>
  <si>
    <t>5082 ARENA Pest Control</t>
  </si>
  <si>
    <t>5580 ARENA Canteen R &amp; M</t>
  </si>
  <si>
    <t>48.13   Repairs and maintenance</t>
  </si>
  <si>
    <t>5065 ARENA Insurance</t>
  </si>
  <si>
    <t>48.15   Insurance</t>
  </si>
  <si>
    <t>5060 ARENA Garbage</t>
  </si>
  <si>
    <t>48.16   Garbage removal</t>
  </si>
  <si>
    <t>5037 ARENA Christmas Eve Skate</t>
  </si>
  <si>
    <t>5081 ARENA Snow Removal</t>
  </si>
  <si>
    <t>48.19   Snow removal</t>
  </si>
  <si>
    <t>5055 ARENA BAD DEBTS</t>
  </si>
  <si>
    <t>48.20   Bad debts</t>
  </si>
  <si>
    <t>5048 ARENA Electricity</t>
  </si>
  <si>
    <t>48.21   Electricity</t>
  </si>
  <si>
    <t>5039 ARENA Interest &amp; Service Charges</t>
  </si>
  <si>
    <t>5063 ARENA Conference &amp; Travel</t>
  </si>
  <si>
    <t>5066 ARENA Office &amp; Postage</t>
  </si>
  <si>
    <t>5085 ARENA Memberships and Dues</t>
  </si>
  <si>
    <t>5555 ARENA Debit-Service Chgs-Canteen</t>
  </si>
  <si>
    <t>48.24   Miscellaneous</t>
  </si>
  <si>
    <t>5550 ARENA Canteen Purchases</t>
  </si>
  <si>
    <t>5570 ARENA Supplies-Canteen</t>
  </si>
  <si>
    <t>48.28   Canteel purchases</t>
  </si>
  <si>
    <t>5057 ARENA Heat</t>
  </si>
  <si>
    <t>5560 ARENA Propane-Canteen</t>
  </si>
  <si>
    <t>48.29   Fuel</t>
  </si>
  <si>
    <t>5105 ARENA Depreciation</t>
  </si>
  <si>
    <t>48.30   Amortization of tangible capital assets</t>
  </si>
  <si>
    <t>2010 TOWN Accounts Payable</t>
  </si>
  <si>
    <t>2013 TOWN Accrued Interest</t>
  </si>
  <si>
    <t>2015 TOWN Accrued audit</t>
  </si>
  <si>
    <t>2018 TOWN VISA Credit Card CAO</t>
  </si>
  <si>
    <t>2020 TOWN Accounts Payable Adjustment</t>
  </si>
  <si>
    <t>2030 TOWN Employee Deduction</t>
  </si>
  <si>
    <t>2035 TOWN CPP Payable</t>
  </si>
  <si>
    <t>2036 TOWN EI Payable</t>
  </si>
  <si>
    <t>2037 TOWN Income Tax Payable</t>
  </si>
  <si>
    <t>2001 WS Accounts Payable</t>
  </si>
  <si>
    <t>2002 WS Accounts Payable-Year End-ICS hold</t>
  </si>
  <si>
    <t>2050 WS Accrued Interest Payable</t>
  </si>
  <si>
    <t>2010 ARENA Accounts Payable</t>
  </si>
  <si>
    <t>2015 ARENA Accounts Payable - Other</t>
  </si>
  <si>
    <t>BB. 1   Accounts payable and accruals</t>
  </si>
  <si>
    <t>2050 TOWN Deferred Revenue Gas Tax</t>
  </si>
  <si>
    <t>2054 TOWN Deferred Fire Dues</t>
  </si>
  <si>
    <t>2057 TOWN Deferred Revenue - other</t>
  </si>
  <si>
    <t>2080 WS Deferred Rev-</t>
  </si>
  <si>
    <t>DD. 1   Deferred revenue</t>
  </si>
  <si>
    <t>2851 TOWN 2013 Fire truck loan</t>
  </si>
  <si>
    <t>2862 TOWN Storm Drains Utility 50% of 10%</t>
  </si>
  <si>
    <t>2501 WS CCU Loan #21087-072</t>
  </si>
  <si>
    <t>2504 WS Sewer-Seperation Project loan 074</t>
  </si>
  <si>
    <t>2507 WS CCU Loan #79</t>
  </si>
  <si>
    <t>NN. 1   Long term debt</t>
  </si>
  <si>
    <t>3010 TOWN Surplus</t>
  </si>
  <si>
    <t>3015 TOWN Annual adj for investment in TCA</t>
  </si>
  <si>
    <t>3010 WS Surplus</t>
  </si>
  <si>
    <t>3015 WS Annual adj for investment in TCA</t>
  </si>
  <si>
    <t>3010 ARENA Surplus</t>
  </si>
  <si>
    <t>TT. 1   Surplus</t>
  </si>
  <si>
    <t>3020 TOWN Appropriated surplus</t>
  </si>
  <si>
    <t>3020 WS Investment Tangible Capital Assets</t>
  </si>
  <si>
    <t>YY. 1   Investment in tangible capital assets</t>
  </si>
  <si>
    <t>Town of Borden-Carleton</t>
  </si>
  <si>
    <t>Year End: March 31, 2023</t>
  </si>
  <si>
    <t>Trial balance</t>
  </si>
  <si>
    <t>Gateway Arena</t>
  </si>
  <si>
    <t/>
  </si>
  <si>
    <t>Account Number</t>
  </si>
  <si>
    <t>Account Description</t>
  </si>
  <si>
    <t>Debits</t>
  </si>
  <si>
    <t>Credits</t>
  </si>
  <si>
    <t>1001</t>
  </si>
  <si>
    <t>Credit Union Current Account</t>
  </si>
  <si>
    <t>1015</t>
  </si>
  <si>
    <t>Credit Union Share Account</t>
  </si>
  <si>
    <t>1020</t>
  </si>
  <si>
    <t>Petty Cash-Canteen Float</t>
  </si>
  <si>
    <t>1200</t>
  </si>
  <si>
    <t>Accounts Receivable-Trade</t>
  </si>
  <si>
    <t>1210</t>
  </si>
  <si>
    <t>Accounts Receivable-Other</t>
  </si>
  <si>
    <t>1300</t>
  </si>
  <si>
    <t>GST Receivable</t>
  </si>
  <si>
    <t>1350</t>
  </si>
  <si>
    <t>Inventory</t>
  </si>
  <si>
    <t>1450</t>
  </si>
  <si>
    <t>Due from/to General</t>
  </si>
  <si>
    <t>1460</t>
  </si>
  <si>
    <t>Due from/to Utilities</t>
  </si>
  <si>
    <t>1550</t>
  </si>
  <si>
    <t>Equipment</t>
  </si>
  <si>
    <t>1555</t>
  </si>
  <si>
    <t>Accumulated Depreciation-Equipment</t>
  </si>
  <si>
    <t>2010</t>
  </si>
  <si>
    <t>Accounts Payable</t>
  </si>
  <si>
    <t>2015</t>
  </si>
  <si>
    <t>Accounts Payable - Other</t>
  </si>
  <si>
    <t>2030</t>
  </si>
  <si>
    <t>GST Payable</t>
  </si>
  <si>
    <t>3010</t>
  </si>
  <si>
    <t>Surplus</t>
  </si>
  <si>
    <t>4010</t>
  </si>
  <si>
    <t>Ice Rental-Minor Hockey</t>
  </si>
  <si>
    <t>4075</t>
  </si>
  <si>
    <t>Ringette</t>
  </si>
  <si>
    <t>4160</t>
  </si>
  <si>
    <t>Sign Rentals</t>
  </si>
  <si>
    <t>4170</t>
  </si>
  <si>
    <t>Miscellaneous Revenue</t>
  </si>
  <si>
    <t>4171</t>
  </si>
  <si>
    <t>Gym - Membership fees</t>
  </si>
  <si>
    <t>4180</t>
  </si>
  <si>
    <t>Grants-Arena Support Prov. PEI</t>
  </si>
  <si>
    <t>4185</t>
  </si>
  <si>
    <t>Province of PEI - Other</t>
  </si>
  <si>
    <t>4190</t>
  </si>
  <si>
    <t>Grants-Salaries</t>
  </si>
  <si>
    <t>4200</t>
  </si>
  <si>
    <t>Donations</t>
  </si>
  <si>
    <t>4205</t>
  </si>
  <si>
    <t>Interest Income</t>
  </si>
  <si>
    <t>4420</t>
  </si>
  <si>
    <t>Heater Rental</t>
  </si>
  <si>
    <t>4500</t>
  </si>
  <si>
    <t>Canteen Sales</t>
  </si>
  <si>
    <t>4600</t>
  </si>
  <si>
    <t>Revenue - Gas Tax</t>
  </si>
  <si>
    <t>5001</t>
  </si>
  <si>
    <t>Wages-Arena</t>
  </si>
  <si>
    <t>5018</t>
  </si>
  <si>
    <t>Bonuses</t>
  </si>
  <si>
    <t>5024</t>
  </si>
  <si>
    <t>Zamboni gas&amp; Repairs</t>
  </si>
  <si>
    <t>5025</t>
  </si>
  <si>
    <t>Edger repairs &amp; fuel</t>
  </si>
  <si>
    <t>5027</t>
  </si>
  <si>
    <t>Ice Making (Start-up)</t>
  </si>
  <si>
    <t>5030</t>
  </si>
  <si>
    <t>Plant Maintenance</t>
  </si>
  <si>
    <t>5033</t>
  </si>
  <si>
    <t>Telephone</t>
  </si>
  <si>
    <t>5036</t>
  </si>
  <si>
    <t>Supplies</t>
  </si>
  <si>
    <t>5037</t>
  </si>
  <si>
    <t>Christmas Eve Skate</t>
  </si>
  <si>
    <t>5039</t>
  </si>
  <si>
    <t>Interest &amp; Service Charges</t>
  </si>
  <si>
    <t>5045</t>
  </si>
  <si>
    <t>Professional Fees - Energy Audit</t>
  </si>
  <si>
    <t>5048</t>
  </si>
  <si>
    <t>Electricity</t>
  </si>
  <si>
    <t>5051</t>
  </si>
  <si>
    <t>Property Taxes &amp; Utilities</t>
  </si>
  <si>
    <t>5057</t>
  </si>
  <si>
    <t>Heat</t>
  </si>
  <si>
    <t>5060</t>
  </si>
  <si>
    <t>Garbage</t>
  </si>
  <si>
    <t>5061</t>
  </si>
  <si>
    <t>Security Fees</t>
  </si>
  <si>
    <t>5063</t>
  </si>
  <si>
    <t>Conference &amp; Travel</t>
  </si>
  <si>
    <t>5065</t>
  </si>
  <si>
    <t>Insurance</t>
  </si>
  <si>
    <t>5066</t>
  </si>
  <si>
    <t>Office &amp; Postage</t>
  </si>
  <si>
    <t>5075</t>
  </si>
  <si>
    <t>Maintenance &amp; Repairs</t>
  </si>
  <si>
    <t>5081</t>
  </si>
  <si>
    <t>Snow Removal</t>
  </si>
  <si>
    <t>5082</t>
  </si>
  <si>
    <t>Pest Control</t>
  </si>
  <si>
    <t>5085</t>
  </si>
  <si>
    <t>Memberships and Dues</t>
  </si>
  <si>
    <t>5105</t>
  </si>
  <si>
    <t>Depreciation</t>
  </si>
  <si>
    <t>5510</t>
  </si>
  <si>
    <t>Wages &amp; Salaries-Canteen</t>
  </si>
  <si>
    <t>5550</t>
  </si>
  <si>
    <t>Canteen Purchases</t>
  </si>
  <si>
    <t>5560</t>
  </si>
  <si>
    <t>Propane-Canteen</t>
  </si>
  <si>
    <t>5580</t>
  </si>
  <si>
    <t>Canteen R &amp; M</t>
  </si>
  <si>
    <t>1010</t>
  </si>
  <si>
    <t>Petty Cash</t>
  </si>
  <si>
    <t>Credit Union Share Acct Gas Tax 002</t>
  </si>
  <si>
    <t>1025</t>
  </si>
  <si>
    <t>Global Payment Card</t>
  </si>
  <si>
    <t>Accounts Receivable</t>
  </si>
  <si>
    <t>1205</t>
  </si>
  <si>
    <t>Accounts Receivable-Year End</t>
  </si>
  <si>
    <t>Due From/To Utility Revenue</t>
  </si>
  <si>
    <t>Due to/from Gateway Arena</t>
  </si>
  <si>
    <t>1500</t>
  </si>
  <si>
    <t>Prepaid expense</t>
  </si>
  <si>
    <t>1600</t>
  </si>
  <si>
    <t>Real estate</t>
  </si>
  <si>
    <t>1604</t>
  </si>
  <si>
    <t>Storage Building -Read Road</t>
  </si>
  <si>
    <t>1605</t>
  </si>
  <si>
    <t>Investment in arena</t>
  </si>
  <si>
    <t>1606</t>
  </si>
  <si>
    <t>Accum. Amortization Buildings</t>
  </si>
  <si>
    <t>1607</t>
  </si>
  <si>
    <t>Bell Building</t>
  </si>
  <si>
    <t>1608</t>
  </si>
  <si>
    <t>Buildings - General Government</t>
  </si>
  <si>
    <t>1625</t>
  </si>
  <si>
    <t>Fire equipment</t>
  </si>
  <si>
    <t>1626</t>
  </si>
  <si>
    <t>Accum. Amortization Fire Equipment</t>
  </si>
  <si>
    <t>1627</t>
  </si>
  <si>
    <t>Fire Vehicles</t>
  </si>
  <si>
    <t>1628</t>
  </si>
  <si>
    <t>Accum. Amortization Fire Vehicles</t>
  </si>
  <si>
    <t>1631</t>
  </si>
  <si>
    <t>Fire Dept Electronic Equip</t>
  </si>
  <si>
    <t>1632</t>
  </si>
  <si>
    <t>Accum. Amortization Fire Dept Equip</t>
  </si>
  <si>
    <t>1635</t>
  </si>
  <si>
    <t>Computer equipment and software</t>
  </si>
  <si>
    <t>1641</t>
  </si>
  <si>
    <t>General Gov't Electronic Equip</t>
  </si>
  <si>
    <t>1642</t>
  </si>
  <si>
    <t>AccumAmortizationGeneralGov't Equip</t>
  </si>
  <si>
    <t>1656</t>
  </si>
  <si>
    <t>Accum Amort - Gen Gov't Equip</t>
  </si>
  <si>
    <t>1660</t>
  </si>
  <si>
    <t>Streets &amp; Sidewalks</t>
  </si>
  <si>
    <t>1661</t>
  </si>
  <si>
    <t>Accum.Amortization Streets&amp;Sidewalk</t>
  </si>
  <si>
    <t>1662</t>
  </si>
  <si>
    <t>Recreational Equipment</t>
  </si>
  <si>
    <t>1663</t>
  </si>
  <si>
    <t>Accum. Amortization Rec Equipment</t>
  </si>
  <si>
    <t>1664</t>
  </si>
  <si>
    <t>Fire Hall Expansion</t>
  </si>
  <si>
    <t>1666</t>
  </si>
  <si>
    <t>Town Vehicles</t>
  </si>
  <si>
    <t>1667</t>
  </si>
  <si>
    <t>Accum Amort - Town vehicles</t>
  </si>
  <si>
    <t>1668</t>
  </si>
  <si>
    <t>Library Renovation</t>
  </si>
  <si>
    <t>1685</t>
  </si>
  <si>
    <t>New Park</t>
  </si>
  <si>
    <t>1686</t>
  </si>
  <si>
    <t>Accum Amortization Rail Park</t>
  </si>
  <si>
    <t>2013</t>
  </si>
  <si>
    <t>Accrued Interest</t>
  </si>
  <si>
    <t>Accrued audit</t>
  </si>
  <si>
    <t>2018</t>
  </si>
  <si>
    <t>2020</t>
  </si>
  <si>
    <t>Accounts Payable Adjustment</t>
  </si>
  <si>
    <t>Employee Deduction</t>
  </si>
  <si>
    <t>2050</t>
  </si>
  <si>
    <t>Deferred Revenue Gas Tax</t>
  </si>
  <si>
    <t>2054</t>
  </si>
  <si>
    <t>Deferred Fire Dues</t>
  </si>
  <si>
    <t>2057</t>
  </si>
  <si>
    <t>Deferred Revenue - other</t>
  </si>
  <si>
    <t>2070</t>
  </si>
  <si>
    <t>GST Collected</t>
  </si>
  <si>
    <t>2851</t>
  </si>
  <si>
    <t>2013 Fire truck loan</t>
  </si>
  <si>
    <t>2862</t>
  </si>
  <si>
    <t>Storm Drains Utility 50% of 10%</t>
  </si>
  <si>
    <t>3015</t>
  </si>
  <si>
    <t>Annual adj for investment in TCA</t>
  </si>
  <si>
    <t>3020</t>
  </si>
  <si>
    <t>Appropriated surplus</t>
  </si>
  <si>
    <t>PropertyTax</t>
  </si>
  <si>
    <t>4011</t>
  </si>
  <si>
    <t>Surplus from Previous Year</t>
  </si>
  <si>
    <t>4020</t>
  </si>
  <si>
    <t>Grants - Municipal Support</t>
  </si>
  <si>
    <t>4025</t>
  </si>
  <si>
    <t>Grants - Gas Tax</t>
  </si>
  <si>
    <t>4030</t>
  </si>
  <si>
    <t>Grants- Job Creation General</t>
  </si>
  <si>
    <t>4042</t>
  </si>
  <si>
    <t>Grants - MCEG</t>
  </si>
  <si>
    <t>4045</t>
  </si>
  <si>
    <t>Grants - other</t>
  </si>
  <si>
    <t>4050</t>
  </si>
  <si>
    <t>Grants- Job Creation Recreation</t>
  </si>
  <si>
    <t>4060</t>
  </si>
  <si>
    <t>Grants- Recreation Leadership</t>
  </si>
  <si>
    <t>4061</t>
  </si>
  <si>
    <t>Grants-Recreation, Canada Day</t>
  </si>
  <si>
    <t>4150</t>
  </si>
  <si>
    <t>Sale of Police Equipment</t>
  </si>
  <si>
    <t>Fines</t>
  </si>
  <si>
    <t>4166</t>
  </si>
  <si>
    <t>Sale of Town Assets(items)</t>
  </si>
  <si>
    <t>Fire Dues</t>
  </si>
  <si>
    <t>Fire Dues- SCBL</t>
  </si>
  <si>
    <t>4192</t>
  </si>
  <si>
    <t>Donations Canada Day Festivities</t>
  </si>
  <si>
    <t>4193</t>
  </si>
  <si>
    <t>Donations General</t>
  </si>
  <si>
    <t>4203</t>
  </si>
  <si>
    <t>Fees - Municipal Election</t>
  </si>
  <si>
    <t>4204</t>
  </si>
  <si>
    <t>Fees-Residential Building Permits</t>
  </si>
  <si>
    <t>4210</t>
  </si>
  <si>
    <t>Licenses &amp; Permits-Mixed</t>
  </si>
  <si>
    <t>4211</t>
  </si>
  <si>
    <t>Subdivision Fees</t>
  </si>
  <si>
    <t>4220</t>
  </si>
  <si>
    <t>Interest</t>
  </si>
  <si>
    <t>4230</t>
  </si>
  <si>
    <t>Summer Program Registration</t>
  </si>
  <si>
    <t>4245</t>
  </si>
  <si>
    <t>Misc Revenue</t>
  </si>
  <si>
    <t>4300</t>
  </si>
  <si>
    <t>Gov't transfers for Capital</t>
  </si>
  <si>
    <t>4400</t>
  </si>
  <si>
    <t>Government transfers for operations</t>
  </si>
  <si>
    <t>5004</t>
  </si>
  <si>
    <t>Police-Contract</t>
  </si>
  <si>
    <t>5095</t>
  </si>
  <si>
    <t>Secure Document Shredding</t>
  </si>
  <si>
    <t>5202</t>
  </si>
  <si>
    <t>Fire Dept Supper</t>
  </si>
  <si>
    <t>5203</t>
  </si>
  <si>
    <t>Honorariums-Fire Department</t>
  </si>
  <si>
    <t>5206</t>
  </si>
  <si>
    <t>Telephone-Fire Department</t>
  </si>
  <si>
    <t>5209</t>
  </si>
  <si>
    <t>Answering Service-Fire Department</t>
  </si>
  <si>
    <t>5215</t>
  </si>
  <si>
    <t>Pagers-Fire Department</t>
  </si>
  <si>
    <t>5216</t>
  </si>
  <si>
    <t>Radio System-Fire Service</t>
  </si>
  <si>
    <t>5218</t>
  </si>
  <si>
    <t>Supplies-Fire Department</t>
  </si>
  <si>
    <t>5224</t>
  </si>
  <si>
    <t>Interest on Long Term Debt-Fire</t>
  </si>
  <si>
    <t>5233</t>
  </si>
  <si>
    <t>Truck Gas &amp; Oil-Fire Department</t>
  </si>
  <si>
    <t>5236</t>
  </si>
  <si>
    <t>Truck Repairs-Fire Department</t>
  </si>
  <si>
    <t>5239</t>
  </si>
  <si>
    <t>Repairs &amp; Maintenance-Fire Depart</t>
  </si>
  <si>
    <t>5244</t>
  </si>
  <si>
    <t>Uniforms-Fire Department</t>
  </si>
  <si>
    <t>5247</t>
  </si>
  <si>
    <t>Advertising-Fire Department</t>
  </si>
  <si>
    <t>5256</t>
  </si>
  <si>
    <t>Insurance-Fire Department</t>
  </si>
  <si>
    <t>5259</t>
  </si>
  <si>
    <t>Insurance - Equipment-Fire Depart</t>
  </si>
  <si>
    <t>5262</t>
  </si>
  <si>
    <t>Insurance Vehicle-Fire Department</t>
  </si>
  <si>
    <t>5265</t>
  </si>
  <si>
    <t>Licenses-Fire Department</t>
  </si>
  <si>
    <t>5268</t>
  </si>
  <si>
    <t>Fire Equipment-Fire Department</t>
  </si>
  <si>
    <t>5271</t>
  </si>
  <si>
    <t>Equipment Repairs-Fire Department</t>
  </si>
  <si>
    <t>5286</t>
  </si>
  <si>
    <t>Miscellaneous-Fire Department</t>
  </si>
  <si>
    <t>5289</t>
  </si>
  <si>
    <t>Share of Building- Fire Department</t>
  </si>
  <si>
    <t>5291</t>
  </si>
  <si>
    <t>Water-Charge/Fire Department</t>
  </si>
  <si>
    <t>5293</t>
  </si>
  <si>
    <t>Depreciation - Fire Dept</t>
  </si>
  <si>
    <t>5309</t>
  </si>
  <si>
    <t>Worker's Compensation</t>
  </si>
  <si>
    <t>5310</t>
  </si>
  <si>
    <t>Depreciation - General Gov't</t>
  </si>
  <si>
    <t>5311</t>
  </si>
  <si>
    <t>5314</t>
  </si>
  <si>
    <t>Health Benefit Plan - RWAM</t>
  </si>
  <si>
    <t>5325</t>
  </si>
  <si>
    <t>Office Cell Phones</t>
  </si>
  <si>
    <t>5327</t>
  </si>
  <si>
    <t>Telephone &amp; Internet</t>
  </si>
  <si>
    <t>5329</t>
  </si>
  <si>
    <t>Equipment Lease Xerox</t>
  </si>
  <si>
    <t>5330</t>
  </si>
  <si>
    <t>Software</t>
  </si>
  <si>
    <t>5333</t>
  </si>
  <si>
    <t>Equipment Repairs</t>
  </si>
  <si>
    <t>5334</t>
  </si>
  <si>
    <t>Repairs &amp; Maintenance - Town</t>
  </si>
  <si>
    <t>5337</t>
  </si>
  <si>
    <t>5339</t>
  </si>
  <si>
    <t>Interest on Long term Debt</t>
  </si>
  <si>
    <t>5343</t>
  </si>
  <si>
    <t>Professional Fees- Audit</t>
  </si>
  <si>
    <t>5344</t>
  </si>
  <si>
    <t>Professional Fees - Other</t>
  </si>
  <si>
    <t>5345</t>
  </si>
  <si>
    <t>Professional Fees - Legal</t>
  </si>
  <si>
    <t>5346</t>
  </si>
  <si>
    <t>Office snow removal</t>
  </si>
  <si>
    <t>5348</t>
  </si>
  <si>
    <t>John Deere Tractor  Desiel&amp;Repairs</t>
  </si>
  <si>
    <t>5349</t>
  </si>
  <si>
    <t>Zero Turn Repairs &amp; Main</t>
  </si>
  <si>
    <t>5350</t>
  </si>
  <si>
    <t>Rent - Municipal Office</t>
  </si>
  <si>
    <t>5351</t>
  </si>
  <si>
    <t>Advertising</t>
  </si>
  <si>
    <t>5353</t>
  </si>
  <si>
    <t>Donations/Scholarship/Prizes</t>
  </si>
  <si>
    <t>5355</t>
  </si>
  <si>
    <t>5356</t>
  </si>
  <si>
    <t>Truck Allowance Mtce Man</t>
  </si>
  <si>
    <t>5357</t>
  </si>
  <si>
    <t>5361</t>
  </si>
  <si>
    <t>5362</t>
  </si>
  <si>
    <t>Office Supplies</t>
  </si>
  <si>
    <t>5363</t>
  </si>
  <si>
    <t>Postage and Courier</t>
  </si>
  <si>
    <t>5365</t>
  </si>
  <si>
    <t>Computer Repairs &amp; Main.</t>
  </si>
  <si>
    <t>5367</t>
  </si>
  <si>
    <t>Honariums - Guaranteed</t>
  </si>
  <si>
    <t>5372</t>
  </si>
  <si>
    <t>Mun Property Tax Rebates</t>
  </si>
  <si>
    <t>5375</t>
  </si>
  <si>
    <t>5376</t>
  </si>
  <si>
    <t>Community Special Events</t>
  </si>
  <si>
    <t>5381</t>
  </si>
  <si>
    <t>Election Expenses</t>
  </si>
  <si>
    <t>5383</t>
  </si>
  <si>
    <t>meal expense</t>
  </si>
  <si>
    <t>5387</t>
  </si>
  <si>
    <t>Utility Share of General</t>
  </si>
  <si>
    <t>5391</t>
  </si>
  <si>
    <t>Wages &amp; Salaries</t>
  </si>
  <si>
    <t>5396</t>
  </si>
  <si>
    <t>Disability Insurance Deducted</t>
  </si>
  <si>
    <t>5501</t>
  </si>
  <si>
    <t>Planning - Development Officer</t>
  </si>
  <si>
    <t>5502</t>
  </si>
  <si>
    <t>Electricity-Bell Building</t>
  </si>
  <si>
    <t>5512</t>
  </si>
  <si>
    <t>Heating Fuel- Bell Building</t>
  </si>
  <si>
    <t>5514</t>
  </si>
  <si>
    <t>Repairs &amp; Maintenance-Bell Building</t>
  </si>
  <si>
    <t>5516</t>
  </si>
  <si>
    <t>Snow Removal-Bell Building</t>
  </si>
  <si>
    <t>5524</t>
  </si>
  <si>
    <t>Property Tax - Bell Building</t>
  </si>
  <si>
    <t>5526</t>
  </si>
  <si>
    <t>Utility Expense- Bell Building</t>
  </si>
  <si>
    <t>5528</t>
  </si>
  <si>
    <t>Insurance- Bell Building</t>
  </si>
  <si>
    <t>5532</t>
  </si>
  <si>
    <t>Janitorial Service-Bell Building</t>
  </si>
  <si>
    <t>5535</t>
  </si>
  <si>
    <t>Dept. Allocation of Bell Bldg</t>
  </si>
  <si>
    <t>5624</t>
  </si>
  <si>
    <t>Insurance - Marine rail park</t>
  </si>
  <si>
    <t>5625</t>
  </si>
  <si>
    <t>Marine Rail Park - Supplies</t>
  </si>
  <si>
    <t>5626</t>
  </si>
  <si>
    <t>Marine Rail Park - R&amp;M</t>
  </si>
  <si>
    <t>5627</t>
  </si>
  <si>
    <t>Marine Rail Park- Caboose</t>
  </si>
  <si>
    <t>5628</t>
  </si>
  <si>
    <t>Marine Rail Park-Electricity</t>
  </si>
  <si>
    <t>5629</t>
  </si>
  <si>
    <t>Marine Rail Park-Property Tax</t>
  </si>
  <si>
    <t>5630</t>
  </si>
  <si>
    <t>Marine Rail Park- Utilities</t>
  </si>
  <si>
    <t>5633</t>
  </si>
  <si>
    <t>Flowers Rail Park</t>
  </si>
  <si>
    <t>5670</t>
  </si>
  <si>
    <t>Property Taxes-240 Borden Avenue</t>
  </si>
  <si>
    <t>5702</t>
  </si>
  <si>
    <t>Repairs &amp; Maintenance-Read Road</t>
  </si>
  <si>
    <t>5703</t>
  </si>
  <si>
    <t>Insurance Storage Bldg - Read Road</t>
  </si>
  <si>
    <t>5705</t>
  </si>
  <si>
    <t>Electricity - Read Road</t>
  </si>
  <si>
    <t>5706</t>
  </si>
  <si>
    <t>Repairs &amp; Maintenance - Shop</t>
  </si>
  <si>
    <t>5708</t>
  </si>
  <si>
    <t>Property Tax-Read Road</t>
  </si>
  <si>
    <t>5709</t>
  </si>
  <si>
    <t>Read Rd Supplies</t>
  </si>
  <si>
    <t>5760</t>
  </si>
  <si>
    <t>Garbage Pickup-Other</t>
  </si>
  <si>
    <t>5762</t>
  </si>
  <si>
    <t>Property taxes - Old Abby lot</t>
  </si>
  <si>
    <t>5763</t>
  </si>
  <si>
    <t>Property Misc.</t>
  </si>
  <si>
    <t>5803</t>
  </si>
  <si>
    <t>Wages - Permanent Rec Employees</t>
  </si>
  <si>
    <t>5831</t>
  </si>
  <si>
    <t>Library Supplies</t>
  </si>
  <si>
    <t>5839</t>
  </si>
  <si>
    <t>Supplies &amp; Equipment</t>
  </si>
  <si>
    <t>5842</t>
  </si>
  <si>
    <t>5848</t>
  </si>
  <si>
    <t>Ballfield Repairs &amp; Maintenance</t>
  </si>
  <si>
    <t>5869</t>
  </si>
  <si>
    <t>Special Events</t>
  </si>
  <si>
    <t>5872</t>
  </si>
  <si>
    <t>Programs and Supplies</t>
  </si>
  <si>
    <t>5873</t>
  </si>
  <si>
    <t>Day Camp Expenses</t>
  </si>
  <si>
    <t>5875</t>
  </si>
  <si>
    <t>Travel</t>
  </si>
  <si>
    <t>5882</t>
  </si>
  <si>
    <t>Repairs and Maintenance-Playground</t>
  </si>
  <si>
    <t>5887</t>
  </si>
  <si>
    <t>Membership Fees-Recreation</t>
  </si>
  <si>
    <t>5895</t>
  </si>
  <si>
    <t>Depreciation - Recreation</t>
  </si>
  <si>
    <t>5896</t>
  </si>
  <si>
    <t>Canada Day Expense</t>
  </si>
  <si>
    <t>5903</t>
  </si>
  <si>
    <t>Electricity - Street Lights</t>
  </si>
  <si>
    <t>5906</t>
  </si>
  <si>
    <t>Sidewalk Maintenance</t>
  </si>
  <si>
    <t>5909</t>
  </si>
  <si>
    <t>Snow Removal-Streets</t>
  </si>
  <si>
    <t>5912</t>
  </si>
  <si>
    <t>Street Signs</t>
  </si>
  <si>
    <t>5915</t>
  </si>
  <si>
    <t>Street Repairs</t>
  </si>
  <si>
    <t>5918</t>
  </si>
  <si>
    <t>Streets - Boardwalk</t>
  </si>
  <si>
    <t>5919</t>
  </si>
  <si>
    <t>Depreciation - Streets &amp; Sidewalks</t>
  </si>
  <si>
    <t>Debit</t>
  </si>
  <si>
    <t>Credit</t>
  </si>
  <si>
    <t>Grants, Recreation-Ballfield Improv</t>
  </si>
  <si>
    <t>Investment Tangible Capital Assets</t>
  </si>
  <si>
    <t>Amount</t>
  </si>
  <si>
    <t>Utility</t>
  </si>
  <si>
    <t>1004</t>
  </si>
  <si>
    <t>Petty cash</t>
  </si>
  <si>
    <t>1005</t>
  </si>
  <si>
    <t>Cash Receipts</t>
  </si>
  <si>
    <t>1006</t>
  </si>
  <si>
    <t>Canteen Receipts</t>
  </si>
  <si>
    <t>Credit Union Term 45</t>
  </si>
  <si>
    <t>1250</t>
  </si>
  <si>
    <t>Allowance for Doubtful Accounts</t>
  </si>
  <si>
    <t>1260</t>
  </si>
  <si>
    <t>Accounts Receivable - Wage Grants</t>
  </si>
  <si>
    <t>1310</t>
  </si>
  <si>
    <t>PST receivable</t>
  </si>
  <si>
    <t>1400</t>
  </si>
  <si>
    <t>Due from/to XXX</t>
  </si>
  <si>
    <t>Prepaid Expense-Bingo &amp; Dances</t>
  </si>
  <si>
    <t>2005</t>
  </si>
  <si>
    <t>Deferred sign rental revenue</t>
  </si>
  <si>
    <t>2035</t>
  </si>
  <si>
    <t>CPP Payable</t>
  </si>
  <si>
    <t>2036</t>
  </si>
  <si>
    <t>EI Payable</t>
  </si>
  <si>
    <t>2037</t>
  </si>
  <si>
    <t>Income Tax Payable</t>
  </si>
  <si>
    <t>2040</t>
  </si>
  <si>
    <t>PST Payable</t>
  </si>
  <si>
    <t>Wage Levies Payable</t>
  </si>
  <si>
    <t>2051</t>
  </si>
  <si>
    <t>Vacation Pay Payable</t>
  </si>
  <si>
    <t>2250</t>
  </si>
  <si>
    <t>Irving Oil Loan-Furnace &amp; Water H</t>
  </si>
  <si>
    <t>Surplus disbursements</t>
  </si>
  <si>
    <t>4002</t>
  </si>
  <si>
    <t>Ice Revenue</t>
  </si>
  <si>
    <t>4005</t>
  </si>
  <si>
    <t>Outside Minor Hockey</t>
  </si>
  <si>
    <t>Ice Rental-Shinny Hockey</t>
  </si>
  <si>
    <t>Ice Rentals-Miscellaneous</t>
  </si>
  <si>
    <t>4040</t>
  </si>
  <si>
    <t>Ice Rentals-Ladies Rec</t>
  </si>
  <si>
    <t>Ice Rentals-Schools</t>
  </si>
  <si>
    <t>Ice Rental-Figure Skating</t>
  </si>
  <si>
    <t>4070</t>
  </si>
  <si>
    <t>Ice Rental</t>
  </si>
  <si>
    <t>4080</t>
  </si>
  <si>
    <t>Ice Rental-Rec Hockey</t>
  </si>
  <si>
    <t>4085</t>
  </si>
  <si>
    <t>Ice rental- Oldtimers</t>
  </si>
  <si>
    <t>4090</t>
  </si>
  <si>
    <t>Ice Rental-Ladies Crunch</t>
  </si>
  <si>
    <t>4100</t>
  </si>
  <si>
    <t>Tournaments</t>
  </si>
  <si>
    <t>4110</t>
  </si>
  <si>
    <t>Skates</t>
  </si>
  <si>
    <t>4120</t>
  </si>
  <si>
    <t>Skate Sponsors</t>
  </si>
  <si>
    <t>4130</t>
  </si>
  <si>
    <t>Skate sharpening</t>
  </si>
  <si>
    <t>4135</t>
  </si>
  <si>
    <t>Equipment Donations &amp; Fundraising</t>
  </si>
  <si>
    <t>4136</t>
  </si>
  <si>
    <t>Donations - Canada Day Festivities</t>
  </si>
  <si>
    <t>4140</t>
  </si>
  <si>
    <t>Vending Machines</t>
  </si>
  <si>
    <t>4141</t>
  </si>
  <si>
    <t>Transfers From Town</t>
  </si>
  <si>
    <t>Arena Rentals</t>
  </si>
  <si>
    <t>4153</t>
  </si>
  <si>
    <t>Sale of Assets</t>
  </si>
  <si>
    <t>4155</t>
  </si>
  <si>
    <t>Table and Chair Rentals</t>
  </si>
  <si>
    <t>4165</t>
  </si>
  <si>
    <t>Recreation Programs</t>
  </si>
  <si>
    <t>4173</t>
  </si>
  <si>
    <t>Gym Equipment Savings</t>
  </si>
  <si>
    <t>4175</t>
  </si>
  <si>
    <t>Total Other Revenue</t>
  </si>
  <si>
    <t>4199</t>
  </si>
  <si>
    <t>Total Grant Revenue</t>
  </si>
  <si>
    <t>Income tax rebates</t>
  </si>
  <si>
    <t>Spring indoor ball hockey Revenue</t>
  </si>
  <si>
    <t>4410</t>
  </si>
  <si>
    <t>Newletter Advertising</t>
  </si>
  <si>
    <t>4505</t>
  </si>
  <si>
    <t>PST Commission</t>
  </si>
  <si>
    <t>5003</t>
  </si>
  <si>
    <t>XxXx</t>
  </si>
  <si>
    <t>5006</t>
  </si>
  <si>
    <t>Vacation Pay</t>
  </si>
  <si>
    <t>5009</t>
  </si>
  <si>
    <t>5012</t>
  </si>
  <si>
    <t>CPP Expense</t>
  </si>
  <si>
    <t>5015</t>
  </si>
  <si>
    <t>EI Expense</t>
  </si>
  <si>
    <t>5021</t>
  </si>
  <si>
    <t>Rec Hockey Ref &amp; Instructors</t>
  </si>
  <si>
    <t>5022</t>
  </si>
  <si>
    <t>hockey - officials</t>
  </si>
  <si>
    <t>5031</t>
  </si>
  <si>
    <t>Tournament Expenses</t>
  </si>
  <si>
    <t>5034</t>
  </si>
  <si>
    <t>Internet - Route 2</t>
  </si>
  <si>
    <t>5035</t>
  </si>
  <si>
    <t>Computer Software</t>
  </si>
  <si>
    <t>5040</t>
  </si>
  <si>
    <t>Interest on long term debt</t>
  </si>
  <si>
    <t>5042</t>
  </si>
  <si>
    <t>Capital Debt Retirement</t>
  </si>
  <si>
    <t>5054</t>
  </si>
  <si>
    <t>5055</t>
  </si>
  <si>
    <t>BAD DEBTS</t>
  </si>
  <si>
    <t>5067</t>
  </si>
  <si>
    <t>Freight &amp; Shipping Charges</t>
  </si>
  <si>
    <t>5068</t>
  </si>
  <si>
    <t>Gym Expenses</t>
  </si>
  <si>
    <t>5069</t>
  </si>
  <si>
    <t>5070</t>
  </si>
  <si>
    <t>Gym Equip Repairs</t>
  </si>
  <si>
    <t>5072</t>
  </si>
  <si>
    <t>Equipment Purchases</t>
  </si>
  <si>
    <t>5073</t>
  </si>
  <si>
    <t>"Birthday Room"</t>
  </si>
  <si>
    <t>5078</t>
  </si>
  <si>
    <t>Equipment Lease</t>
  </si>
  <si>
    <t>5083</t>
  </si>
  <si>
    <t>PIF</t>
  </si>
  <si>
    <t>5084</t>
  </si>
  <si>
    <t>Miscellaneous</t>
  </si>
  <si>
    <t>Postage</t>
  </si>
  <si>
    <t>5364</t>
  </si>
  <si>
    <t>Donations, Prizes ect.</t>
  </si>
  <si>
    <t>5509</t>
  </si>
  <si>
    <t>WCB -Canteen</t>
  </si>
  <si>
    <t>5520</t>
  </si>
  <si>
    <t>Vacation Pay-Canteen</t>
  </si>
  <si>
    <t>5530</t>
  </si>
  <si>
    <t>CPP Expense-Canteen</t>
  </si>
  <si>
    <t>5540</t>
  </si>
  <si>
    <t>EI Expense-Canteen</t>
  </si>
  <si>
    <t>5555</t>
  </si>
  <si>
    <t>Debit-Service Chgs-Canteen</t>
  </si>
  <si>
    <t>5570</t>
  </si>
  <si>
    <t>Supplies-Canteen</t>
  </si>
  <si>
    <t>5575</t>
  </si>
  <si>
    <t>Telephone-Canteen</t>
  </si>
  <si>
    <t>5581</t>
  </si>
  <si>
    <t>XxX</t>
  </si>
  <si>
    <t>5800</t>
  </si>
  <si>
    <t>Capital Expenditures</t>
  </si>
  <si>
    <t>5990</t>
  </si>
  <si>
    <t>Cash Over And Short</t>
  </si>
  <si>
    <t>Consolidation</t>
  </si>
  <si>
    <t>Code</t>
  </si>
  <si>
    <t>1021</t>
  </si>
  <si>
    <t>Capsite Bank Account</t>
  </si>
  <si>
    <t>1206</t>
  </si>
  <si>
    <t>Misc telephone receivable</t>
  </si>
  <si>
    <t>Fire Department Receivable</t>
  </si>
  <si>
    <t>Property tax receivable</t>
  </si>
  <si>
    <t>1351</t>
  </si>
  <si>
    <t>Loan from Utility</t>
  </si>
  <si>
    <t>Arena Equipment</t>
  </si>
  <si>
    <t>1610</t>
  </si>
  <si>
    <t>Building Read Road</t>
  </si>
  <si>
    <t>1611</t>
  </si>
  <si>
    <t>Police vehicle - impala</t>
  </si>
  <si>
    <t>1612</t>
  </si>
  <si>
    <t>Police emergency vehicle</t>
  </si>
  <si>
    <t>1613</t>
  </si>
  <si>
    <t>Police Vehicle - 2005 Impala</t>
  </si>
  <si>
    <t>1614</t>
  </si>
  <si>
    <t>Police vehicle- 2008 Crown Victoria</t>
  </si>
  <si>
    <t>1615</t>
  </si>
  <si>
    <t>Police equipment</t>
  </si>
  <si>
    <t>1616</t>
  </si>
  <si>
    <t>Accum. Amortization Police Vehicles</t>
  </si>
  <si>
    <t>1617</t>
  </si>
  <si>
    <t>Accum.Amortization Police Equipment</t>
  </si>
  <si>
    <t>1620</t>
  </si>
  <si>
    <t>Police office equipment</t>
  </si>
  <si>
    <t>1621</t>
  </si>
  <si>
    <t>AccumAmortizationPolice OfficeEquip</t>
  </si>
  <si>
    <t>1622</t>
  </si>
  <si>
    <t>Library Furniture &amp; Equipment</t>
  </si>
  <si>
    <t>1630</t>
  </si>
  <si>
    <t>Tank</t>
  </si>
  <si>
    <t>1640</t>
  </si>
  <si>
    <t>Fixtures</t>
  </si>
  <si>
    <t>1645</t>
  </si>
  <si>
    <t>Generator</t>
  </si>
  <si>
    <t>1650</t>
  </si>
  <si>
    <t>Playground equipment</t>
  </si>
  <si>
    <t>1655</t>
  </si>
  <si>
    <t>General Gov't Equipment</t>
  </si>
  <si>
    <t>1699</t>
  </si>
  <si>
    <t>Debt Retirement out of revenue</t>
  </si>
  <si>
    <t>1700</t>
  </si>
  <si>
    <t>Due from general revenue</t>
  </si>
  <si>
    <t>2012</t>
  </si>
  <si>
    <t>Accounts Payable Arena (New Account</t>
  </si>
  <si>
    <t>2025</t>
  </si>
  <si>
    <t>Property tax adjusment</t>
  </si>
  <si>
    <t>2031</t>
  </si>
  <si>
    <t>2038</t>
  </si>
  <si>
    <t>Damage Deposit Payable</t>
  </si>
  <si>
    <t>2052</t>
  </si>
  <si>
    <t>Deferred Revenue Go PEI</t>
  </si>
  <si>
    <t>2056</t>
  </si>
  <si>
    <t>Deferred PIF Funds</t>
  </si>
  <si>
    <t>2060</t>
  </si>
  <si>
    <t>Unearned Fire Dues- Scbl</t>
  </si>
  <si>
    <t>2800</t>
  </si>
  <si>
    <t>9 1/2% CCU loan - fire truck</t>
  </si>
  <si>
    <t>2801</t>
  </si>
  <si>
    <t>5.75% CCU Loan -New Fire Pump Truck</t>
  </si>
  <si>
    <t>2802</t>
  </si>
  <si>
    <t>CCU loan Equipment Van Fire Depart</t>
  </si>
  <si>
    <t>2803</t>
  </si>
  <si>
    <t>P+.05% CCU Loan Tanker FireTruck</t>
  </si>
  <si>
    <t>2810</t>
  </si>
  <si>
    <t>0% SCBL loan</t>
  </si>
  <si>
    <t>2820</t>
  </si>
  <si>
    <t>7.45% CCU loan - arena</t>
  </si>
  <si>
    <t>2825</t>
  </si>
  <si>
    <t>5.25% CCU Loan - Arena Roof</t>
  </si>
  <si>
    <t>2827</t>
  </si>
  <si>
    <t>CCU Loan 71 - Arena Compressor</t>
  </si>
  <si>
    <t>2828</t>
  </si>
  <si>
    <t>Police Vehicles 2011 Combined loans</t>
  </si>
  <si>
    <t>2840</t>
  </si>
  <si>
    <t>P+1.5% CCU Loan 2005 Police Vehicle</t>
  </si>
  <si>
    <t>2845</t>
  </si>
  <si>
    <t>CCU Loan 2008 Police Vehicle P+.05</t>
  </si>
  <si>
    <t>2850</t>
  </si>
  <si>
    <t>CCU Loan Security System 00075</t>
  </si>
  <si>
    <t>2875</t>
  </si>
  <si>
    <t>082 Mortgage -House/Storage Build</t>
  </si>
  <si>
    <t>2900</t>
  </si>
  <si>
    <t>Contribution in Tangible Assets</t>
  </si>
  <si>
    <t>2901</t>
  </si>
  <si>
    <t>Accum Amortization Contribution</t>
  </si>
  <si>
    <t>4022</t>
  </si>
  <si>
    <t>Grants - Provincial Infrastructure</t>
  </si>
  <si>
    <t>Grants- Job Creation Police</t>
  </si>
  <si>
    <t>4046</t>
  </si>
  <si>
    <t>Grants Capsite</t>
  </si>
  <si>
    <t>4048</t>
  </si>
  <si>
    <t>Work Experince PEI</t>
  </si>
  <si>
    <t>4049</t>
  </si>
  <si>
    <t>Book Revenue</t>
  </si>
  <si>
    <t>4051</t>
  </si>
  <si>
    <t>PST Revenue Refund</t>
  </si>
  <si>
    <t>4062</t>
  </si>
  <si>
    <t>4063</t>
  </si>
  <si>
    <t>Grants-Playground Improvement</t>
  </si>
  <si>
    <t>4064</t>
  </si>
  <si>
    <t>Wage Target Subsidy</t>
  </si>
  <si>
    <t>4065</t>
  </si>
  <si>
    <t>Grants-Arena Operations</t>
  </si>
  <si>
    <t>4066</t>
  </si>
  <si>
    <t>Grants-Recreation-Other</t>
  </si>
  <si>
    <t>4068</t>
  </si>
  <si>
    <t>Grant JCP Project Arena</t>
  </si>
  <si>
    <t>Grants-PEI Sales Tax Rebate</t>
  </si>
  <si>
    <t>4133</t>
  </si>
  <si>
    <t>Reimbursment</t>
  </si>
  <si>
    <t>4161</t>
  </si>
  <si>
    <t>Police Training</t>
  </si>
  <si>
    <t>Fines Municipal ByLaws</t>
  </si>
  <si>
    <t>Administration Fees</t>
  </si>
  <si>
    <t>Fees-Police-Criminal Record Checks</t>
  </si>
  <si>
    <t>4191</t>
  </si>
  <si>
    <t>Donations Fire Dept.</t>
  </si>
  <si>
    <t>Library Reno-proceeds from utility</t>
  </si>
  <si>
    <t>Fees-Commercial Development Permits</t>
  </si>
  <si>
    <t>4206</t>
  </si>
  <si>
    <t>Dog Licenses</t>
  </si>
  <si>
    <t>4207</t>
  </si>
  <si>
    <t>Misc Permits</t>
  </si>
  <si>
    <t>4208</t>
  </si>
  <si>
    <t>Revenue - Playground Infrastructure</t>
  </si>
  <si>
    <t>4213</t>
  </si>
  <si>
    <t>Rezoning Fees</t>
  </si>
  <si>
    <t>4217</t>
  </si>
  <si>
    <t>Misc. Revenue - Events</t>
  </si>
  <si>
    <t>4234</t>
  </si>
  <si>
    <t>Misc. Recreation</t>
  </si>
  <si>
    <t>4238</t>
  </si>
  <si>
    <t>Ball Hockey Tournament Donation</t>
  </si>
  <si>
    <t>4240</t>
  </si>
  <si>
    <t>Advertising Revenue</t>
  </si>
  <si>
    <t>4242</t>
  </si>
  <si>
    <t>Rail Park Rent</t>
  </si>
  <si>
    <t>4250</t>
  </si>
  <si>
    <t>BADC - reimbursement</t>
  </si>
  <si>
    <t>4255</t>
  </si>
  <si>
    <t>Sales tax rebate</t>
  </si>
  <si>
    <t>Wages-Police Permanent</t>
  </si>
  <si>
    <t>Wages-Police PT/Temp</t>
  </si>
  <si>
    <t>Life Insurance Benefit- Police</t>
  </si>
  <si>
    <t>Disability Insurance Benefit-Police</t>
  </si>
  <si>
    <t>Vehicle Gas &amp; Oil-Police</t>
  </si>
  <si>
    <t>Repairs &amp; Maintance-Police</t>
  </si>
  <si>
    <t>Uniforms &amp; Dry Cleaning-Police</t>
  </si>
  <si>
    <t>5094</t>
  </si>
  <si>
    <t>Professional Fees, Police other</t>
  </si>
  <si>
    <t>5207</t>
  </si>
  <si>
    <t>Fire Hall Extention Project</t>
  </si>
  <si>
    <t>5212</t>
  </si>
  <si>
    <t>Electricity-Fire Department</t>
  </si>
  <si>
    <t>5227</t>
  </si>
  <si>
    <t>Capital Debt Retirement-Fire Depart</t>
  </si>
  <si>
    <t>5230</t>
  </si>
  <si>
    <t>Capital Debt Retirement - SCBL-Fire</t>
  </si>
  <si>
    <t>5242</t>
  </si>
  <si>
    <t>Snow Removal-Fire Department</t>
  </si>
  <si>
    <t>5250</t>
  </si>
  <si>
    <t>Conventions &amp; Travel-Fire Depart</t>
  </si>
  <si>
    <t>5253</t>
  </si>
  <si>
    <t>Training-Fire Department</t>
  </si>
  <si>
    <t>5272</t>
  </si>
  <si>
    <t>Ambulance service - Fire Department</t>
  </si>
  <si>
    <t>5274</t>
  </si>
  <si>
    <t>Memberships &amp; Dues-Fire Department</t>
  </si>
  <si>
    <t>5277</t>
  </si>
  <si>
    <t>Professional fees-Fire Department</t>
  </si>
  <si>
    <t>5280</t>
  </si>
  <si>
    <t>Capital Assets from Revenue-Fire</t>
  </si>
  <si>
    <t>5283</t>
  </si>
  <si>
    <t>Fire Dues Exp.-Fire Department</t>
  </si>
  <si>
    <t>5290</t>
  </si>
  <si>
    <t>Capital Purchases - Fire Department</t>
  </si>
  <si>
    <t>5292</t>
  </si>
  <si>
    <t>Allowance for new truck</t>
  </si>
  <si>
    <t>5294</t>
  </si>
  <si>
    <t>Depn of Contribution - Fire Dept</t>
  </si>
  <si>
    <t>5304</t>
  </si>
  <si>
    <t>Administrative fee-Tax revenue</t>
  </si>
  <si>
    <t>5305</t>
  </si>
  <si>
    <t>Wages - Casual Employees</t>
  </si>
  <si>
    <t>5307</t>
  </si>
  <si>
    <t>Staff Deductions</t>
  </si>
  <si>
    <t>5313</t>
  </si>
  <si>
    <t>Official Plan</t>
  </si>
  <si>
    <t>5315</t>
  </si>
  <si>
    <t>Life Insurance Benefit</t>
  </si>
  <si>
    <t>5319</t>
  </si>
  <si>
    <t>Canada Pension Plan - summer</t>
  </si>
  <si>
    <t>5321</t>
  </si>
  <si>
    <t>Employment Insurance - summer</t>
  </si>
  <si>
    <t>5331</t>
  </si>
  <si>
    <t>New Deal Gas Tax Infrastructure</t>
  </si>
  <si>
    <t>5332</t>
  </si>
  <si>
    <t>Equipment and Tool Purchases</t>
  </si>
  <si>
    <t>5335</t>
  </si>
  <si>
    <t>Renovations</t>
  </si>
  <si>
    <t>5336</t>
  </si>
  <si>
    <t>Rezoning /DevelopmentFees</t>
  </si>
  <si>
    <t>5340</t>
  </si>
  <si>
    <t>Capital Assets from Reven -Gen Gov</t>
  </si>
  <si>
    <t>5341</t>
  </si>
  <si>
    <t>5342</t>
  </si>
  <si>
    <t>Capital Debt Retire-Security Camera</t>
  </si>
  <si>
    <t>5347</t>
  </si>
  <si>
    <t>Professional Fees - Planning</t>
  </si>
  <si>
    <t>5358</t>
  </si>
  <si>
    <t>Insurance John Deere Tractor</t>
  </si>
  <si>
    <t>5369</t>
  </si>
  <si>
    <t>Honorariums - Meetings</t>
  </si>
  <si>
    <t>5373</t>
  </si>
  <si>
    <t>Playground Equipment other expense</t>
  </si>
  <si>
    <t>5377</t>
  </si>
  <si>
    <t>xxx</t>
  </si>
  <si>
    <t>5378</t>
  </si>
  <si>
    <t>Town Miscellaneous</t>
  </si>
  <si>
    <t>5379</t>
  </si>
  <si>
    <t>Planning</t>
  </si>
  <si>
    <t>5385</t>
  </si>
  <si>
    <t>Unsightly Property Repairs</t>
  </si>
  <si>
    <t>5386</t>
  </si>
  <si>
    <t>Utility - Fire Protection Service</t>
  </si>
  <si>
    <t>5388</t>
  </si>
  <si>
    <t>Summer salaries &amp; benefits - tempor</t>
  </si>
  <si>
    <t>5389</t>
  </si>
  <si>
    <t>General Share of building</t>
  </si>
  <si>
    <t>5392</t>
  </si>
  <si>
    <t>5393</t>
  </si>
  <si>
    <t>5394</t>
  </si>
  <si>
    <t>RRSP Deducted</t>
  </si>
  <si>
    <t>5395</t>
  </si>
  <si>
    <t>Life Insurance Deducted</t>
  </si>
  <si>
    <t>5399</t>
  </si>
  <si>
    <t>ACOA STEP Program</t>
  </si>
  <si>
    <t>5400</t>
  </si>
  <si>
    <t>InterestLTDebt Air Compressor-Arena</t>
  </si>
  <si>
    <t>5401</t>
  </si>
  <si>
    <t>Lawn-Mowing-Unallocated</t>
  </si>
  <si>
    <t>5402</t>
  </si>
  <si>
    <t>Capital DR Air Compressor-Arena</t>
  </si>
  <si>
    <t>5433</t>
  </si>
  <si>
    <t>5503</t>
  </si>
  <si>
    <t>5504</t>
  </si>
  <si>
    <t>Interest on Long Term Debt-Bell</t>
  </si>
  <si>
    <t>5506</t>
  </si>
  <si>
    <t>Interest Term Debt-Bell Building</t>
  </si>
  <si>
    <t>5508</t>
  </si>
  <si>
    <t>Loan Payment-Bell Building</t>
  </si>
  <si>
    <t>Bell Bldg PPE Additions Current Rev</t>
  </si>
  <si>
    <t>Professional Fees-Bell Building</t>
  </si>
  <si>
    <t>5518</t>
  </si>
  <si>
    <t>Grass Cutting-Bell Building</t>
  </si>
  <si>
    <t>Garbage Pickup-Bell Building</t>
  </si>
  <si>
    <t>5522</t>
  </si>
  <si>
    <t>Landscaping/ Flowers-Bell Building</t>
  </si>
  <si>
    <t>Miscellaneous Expense-Bell Building</t>
  </si>
  <si>
    <t>5574</t>
  </si>
  <si>
    <t>Insurance for Business Centre</t>
  </si>
  <si>
    <t>5576</t>
  </si>
  <si>
    <t>General Government</t>
  </si>
  <si>
    <t>5579</t>
  </si>
  <si>
    <t>CTMA - Building Rent</t>
  </si>
  <si>
    <t>5583</t>
  </si>
  <si>
    <t>Department allocation - business ce</t>
  </si>
  <si>
    <t>5631</t>
  </si>
  <si>
    <t>Marine Rail Park - Insurance</t>
  </si>
  <si>
    <t>5632</t>
  </si>
  <si>
    <t>Marine Rail Park Project (BADC)</t>
  </si>
  <si>
    <t>5668</t>
  </si>
  <si>
    <t>Property Taxes - Leard Street</t>
  </si>
  <si>
    <t>5704</t>
  </si>
  <si>
    <t>Heat Read Road</t>
  </si>
  <si>
    <t>5752</t>
  </si>
  <si>
    <t>Electricity-Other</t>
  </si>
  <si>
    <t>5754</t>
  </si>
  <si>
    <t>Library Renovations</t>
  </si>
  <si>
    <t>5756</t>
  </si>
  <si>
    <t>Repairs &amp; Maintenance-Library</t>
  </si>
  <si>
    <t>5757</t>
  </si>
  <si>
    <t>Library Purchases</t>
  </si>
  <si>
    <t>5758</t>
  </si>
  <si>
    <t>Grass Cutting-Other</t>
  </si>
  <si>
    <t>5764</t>
  </si>
  <si>
    <t>Range Light Expenses</t>
  </si>
  <si>
    <t>5766</t>
  </si>
  <si>
    <t>Utility Tax-Other Properties</t>
  </si>
  <si>
    <t>5767</t>
  </si>
  <si>
    <t>Larkin Property</t>
  </si>
  <si>
    <t>5768</t>
  </si>
  <si>
    <t>Larkin Repairs &amp; Maintenance</t>
  </si>
  <si>
    <t>5802</t>
  </si>
  <si>
    <t>Arena % Insurance</t>
  </si>
  <si>
    <t>5812</t>
  </si>
  <si>
    <t>5818</t>
  </si>
  <si>
    <t>Life Insurance Benefits</t>
  </si>
  <si>
    <t>5821</t>
  </si>
  <si>
    <t>Disability Insurance Benefit</t>
  </si>
  <si>
    <t>5824</t>
  </si>
  <si>
    <t>5827</t>
  </si>
  <si>
    <t>Canada Pension Plan - Rec</t>
  </si>
  <si>
    <t>5830</t>
  </si>
  <si>
    <t>Employment Insurance - Rec</t>
  </si>
  <si>
    <t>5833</t>
  </si>
  <si>
    <t>Income Tax Deductions</t>
  </si>
  <si>
    <t>5836</t>
  </si>
  <si>
    <t>Transfers to Arena</t>
  </si>
  <si>
    <t>5840</t>
  </si>
  <si>
    <t>interest LTDebt- Arena Roof</t>
  </si>
  <si>
    <t>5841</t>
  </si>
  <si>
    <t>interest LTDebt - Arena Compressor</t>
  </si>
  <si>
    <t>5843</t>
  </si>
  <si>
    <t>Capital Debt Retirement -Arena Roof</t>
  </si>
  <si>
    <t>5844</t>
  </si>
  <si>
    <t>Capital DebtRetire Arena Compressor</t>
  </si>
  <si>
    <t>5845</t>
  </si>
  <si>
    <t>5846</t>
  </si>
  <si>
    <t>snow removal Arena Parking lot</t>
  </si>
  <si>
    <t>5851</t>
  </si>
  <si>
    <t>Tennis Court Repairs</t>
  </si>
  <si>
    <t>5857</t>
  </si>
  <si>
    <t>Ballfield - Property Tax</t>
  </si>
  <si>
    <t>5863</t>
  </si>
  <si>
    <t>Rink - Property Tax</t>
  </si>
  <si>
    <t>5864</t>
  </si>
  <si>
    <t>Maintenance-Gateway Arena</t>
  </si>
  <si>
    <t>5865</t>
  </si>
  <si>
    <t>Professional Fees</t>
  </si>
  <si>
    <t>5866</t>
  </si>
  <si>
    <t>Advertising &amp; Donations</t>
  </si>
  <si>
    <t>5867</t>
  </si>
  <si>
    <t>Volunteer Appreciation</t>
  </si>
  <si>
    <t>5871</t>
  </si>
  <si>
    <t>"Birthday Room" @ Arena</t>
  </si>
  <si>
    <t>5877</t>
  </si>
  <si>
    <t>Conference and Training-Recreation</t>
  </si>
  <si>
    <t>5878</t>
  </si>
  <si>
    <t>Office &amp; Postage-Recreation</t>
  </si>
  <si>
    <t>5881</t>
  </si>
  <si>
    <t>Equipment Purchase - Playground</t>
  </si>
  <si>
    <t>5884</t>
  </si>
  <si>
    <t>Equipment Purchase Office</t>
  </si>
  <si>
    <t>5890</t>
  </si>
  <si>
    <t>Capital Assets -Recreation</t>
  </si>
  <si>
    <t>5893</t>
  </si>
  <si>
    <t>5894</t>
  </si>
  <si>
    <t>Depn of Contributions - Recreation</t>
  </si>
  <si>
    <t>5897</t>
  </si>
  <si>
    <t>Go PEI</t>
  </si>
  <si>
    <t>5899</t>
  </si>
  <si>
    <t>Gateway Dances -Misc</t>
  </si>
  <si>
    <t>5920</t>
  </si>
  <si>
    <t>Depn of Contribn - Streets &amp;Sidwalk</t>
  </si>
  <si>
    <t>5950</t>
  </si>
  <si>
    <t>loss on sale of assets</t>
  </si>
  <si>
    <t>Borden Carleton Sewer and Water Utility</t>
  </si>
  <si>
    <t>Cash in bank</t>
  </si>
  <si>
    <t>1002</t>
  </si>
  <si>
    <t>Cash on hand</t>
  </si>
  <si>
    <t>1003</t>
  </si>
  <si>
    <t>Shares - sewer capital account</t>
  </si>
  <si>
    <t>CDR- 21087-46-9</t>
  </si>
  <si>
    <t>Townsuite Accounts Rec Clearing</t>
  </si>
  <si>
    <t>ACCOUNTS RECEIVABLE - YEAR END ADJ</t>
  </si>
  <si>
    <t>1220</t>
  </si>
  <si>
    <t>Accounts receivable - capital</t>
  </si>
  <si>
    <t>Allowance for D/A</t>
  </si>
  <si>
    <t>Prepaid</t>
  </si>
  <si>
    <t>Due from(to) Town</t>
  </si>
  <si>
    <t>1501</t>
  </si>
  <si>
    <t>Loan to Town</t>
  </si>
  <si>
    <t>1510</t>
  </si>
  <si>
    <t>Due from/to Arena</t>
  </si>
  <si>
    <t>Due From(To) Utility Cap-Sewer</t>
  </si>
  <si>
    <t>Sales Tax Receivable</t>
  </si>
  <si>
    <t>353 Land and Land Rights</t>
  </si>
  <si>
    <t>1705</t>
  </si>
  <si>
    <t>354 Structures and Improvements</t>
  </si>
  <si>
    <t>1710</t>
  </si>
  <si>
    <t>354 Accumulated Depreciation-S&amp;I</t>
  </si>
  <si>
    <t>1715</t>
  </si>
  <si>
    <t>382 Outfall Sewer Lines</t>
  </si>
  <si>
    <t>1720</t>
  </si>
  <si>
    <t>382 Accumulated Depreciation, OSL</t>
  </si>
  <si>
    <t>1725</t>
  </si>
  <si>
    <t>380Treatment and Disposal Equipment</t>
  </si>
  <si>
    <t>1730</t>
  </si>
  <si>
    <t>380 Accumulated Depreciation-T&amp;DE</t>
  </si>
  <si>
    <t>1732</t>
  </si>
  <si>
    <t>371 Pumping Equipment</t>
  </si>
  <si>
    <t>1734</t>
  </si>
  <si>
    <t>371 Acc Deprec Pumping Equip</t>
  </si>
  <si>
    <t>1736</t>
  </si>
  <si>
    <t>389 Other Plant&amp;Misc Equip</t>
  </si>
  <si>
    <t>1738</t>
  </si>
  <si>
    <t>389 Acc Deprec Other Plant Equip</t>
  </si>
  <si>
    <t>1740</t>
  </si>
  <si>
    <t>Bldg - sewer</t>
  </si>
  <si>
    <t>1745</t>
  </si>
  <si>
    <t>A/A - Bldg sewer</t>
  </si>
  <si>
    <t>1760</t>
  </si>
  <si>
    <t>334 Meters</t>
  </si>
  <si>
    <t>1765</t>
  </si>
  <si>
    <t>334 Accumulated Depreciation-Meters</t>
  </si>
  <si>
    <t>1770</t>
  </si>
  <si>
    <t>304 Structures and Improvements</t>
  </si>
  <si>
    <t>1775</t>
  </si>
  <si>
    <t>304 Accumulated Depreciation-S&amp;I</t>
  </si>
  <si>
    <t>1778</t>
  </si>
  <si>
    <t>Land - water</t>
  </si>
  <si>
    <t>1779</t>
  </si>
  <si>
    <t>land - sewer</t>
  </si>
  <si>
    <t>1780</t>
  </si>
  <si>
    <t>307 Wells and Springs</t>
  </si>
  <si>
    <t>1785</t>
  </si>
  <si>
    <t>307 Accumulated Depreciation-W&amp;S</t>
  </si>
  <si>
    <t>1790</t>
  </si>
  <si>
    <t>309 Supply Mains</t>
  </si>
  <si>
    <t>1795</t>
  </si>
  <si>
    <t>309 Accumulated Depreciation-SM</t>
  </si>
  <si>
    <t>1800</t>
  </si>
  <si>
    <t>311 Pumping equipment</t>
  </si>
  <si>
    <t>1805</t>
  </si>
  <si>
    <t>311 Accumulated Depreciation-PE</t>
  </si>
  <si>
    <t>1810</t>
  </si>
  <si>
    <t>335 Hydrants</t>
  </si>
  <si>
    <t>1815</t>
  </si>
  <si>
    <t>335 Accumulated Depreciation-Hydra</t>
  </si>
  <si>
    <t>1820</t>
  </si>
  <si>
    <t>320 Water treatment equipment</t>
  </si>
  <si>
    <t>1825</t>
  </si>
  <si>
    <t>320 acc. depr. Water treatment equi</t>
  </si>
  <si>
    <t>1830</t>
  </si>
  <si>
    <t>330 Distribution resevoir &amp; standpi</t>
  </si>
  <si>
    <t>1835</t>
  </si>
  <si>
    <t>330 Acc. depr. distribution resevo</t>
  </si>
  <si>
    <t>1836</t>
  </si>
  <si>
    <t>347 Computer Software (New Acct)</t>
  </si>
  <si>
    <t>1840</t>
  </si>
  <si>
    <t>Bldg - water</t>
  </si>
  <si>
    <t>1845</t>
  </si>
  <si>
    <t>A/A - Bldg - water</t>
  </si>
  <si>
    <t>1900</t>
  </si>
  <si>
    <t>Debt retirement out of revenue</t>
  </si>
  <si>
    <t>2001</t>
  </si>
  <si>
    <t>2002</t>
  </si>
  <si>
    <t>Accounts Payable-Year End-ICS hold</t>
  </si>
  <si>
    <t>2003</t>
  </si>
  <si>
    <t>PST Payble</t>
  </si>
  <si>
    <t>2004</t>
  </si>
  <si>
    <t>Accounts payable - capital account</t>
  </si>
  <si>
    <t>Unearned revenue - capital account</t>
  </si>
  <si>
    <t>Accrued Interest Payable</t>
  </si>
  <si>
    <t>2080</t>
  </si>
  <si>
    <t>Deferred Rev- Combined sewer study</t>
  </si>
  <si>
    <t>2500</t>
  </si>
  <si>
    <t>CCU Loan #21087-739</t>
  </si>
  <si>
    <t>2501</t>
  </si>
  <si>
    <t>CCU Loan #21087-072</t>
  </si>
  <si>
    <t>2502</t>
  </si>
  <si>
    <t>CCU Loan #21087-073</t>
  </si>
  <si>
    <t>2503</t>
  </si>
  <si>
    <t>CCU Loan #21087-074</t>
  </si>
  <si>
    <t>2504</t>
  </si>
  <si>
    <t>Sewer-Seperation Project loan 074</t>
  </si>
  <si>
    <t>2505</t>
  </si>
  <si>
    <t>CCU Loan #21087-789</t>
  </si>
  <si>
    <t>2506</t>
  </si>
  <si>
    <t>CCU Loan #779</t>
  </si>
  <si>
    <t>2507</t>
  </si>
  <si>
    <t>CCU Loan #79</t>
  </si>
  <si>
    <t>2508</t>
  </si>
  <si>
    <t>CCU Loan 21087-080 W&amp;S Rates Study</t>
  </si>
  <si>
    <t>2700</t>
  </si>
  <si>
    <t>2705</t>
  </si>
  <si>
    <t>2710</t>
  </si>
  <si>
    <t>380 Treatment and Disposal Equipmen</t>
  </si>
  <si>
    <t>2715</t>
  </si>
  <si>
    <t>2720</t>
  </si>
  <si>
    <t>2721</t>
  </si>
  <si>
    <t>Contributions - land water</t>
  </si>
  <si>
    <t>2725</t>
  </si>
  <si>
    <t>2730</t>
  </si>
  <si>
    <t>2735</t>
  </si>
  <si>
    <t>2736</t>
  </si>
  <si>
    <t>307 Wells contributions</t>
  </si>
  <si>
    <t>2737</t>
  </si>
  <si>
    <t>307 ACCUMULATED DEPRECIATION WELLS</t>
  </si>
  <si>
    <t>2738</t>
  </si>
  <si>
    <t>311 Contributions Pumping equipment</t>
  </si>
  <si>
    <t>2739</t>
  </si>
  <si>
    <t>311 acc. deprn. pumping equip aid c</t>
  </si>
  <si>
    <t>2740</t>
  </si>
  <si>
    <t>320 Contri Water treatment equipmen</t>
  </si>
  <si>
    <t>2741</t>
  </si>
  <si>
    <t>320 acc. amort. cont Water trea equ</t>
  </si>
  <si>
    <t>2742</t>
  </si>
  <si>
    <t>330 Contrib Distribution resevoir</t>
  </si>
  <si>
    <t>2743</t>
  </si>
  <si>
    <t>330 acc amort cont Dist resevoir</t>
  </si>
  <si>
    <t>2744</t>
  </si>
  <si>
    <t>334 Contributions - Meters(new )</t>
  </si>
  <si>
    <t>2745</t>
  </si>
  <si>
    <t>347 Contributions-ComputerSW(Nw Acc</t>
  </si>
  <si>
    <t>2746</t>
  </si>
  <si>
    <t>Contributions- Accum.Amort Meters</t>
  </si>
  <si>
    <t>2750</t>
  </si>
  <si>
    <t>Don't use</t>
  </si>
  <si>
    <t>2755</t>
  </si>
  <si>
    <t>Due to W&amp;S Revenue Fund</t>
  </si>
  <si>
    <t>Residential Sewage Income</t>
  </si>
  <si>
    <t>4015</t>
  </si>
  <si>
    <t>Sewer Commodity Charge</t>
  </si>
  <si>
    <t>4016</t>
  </si>
  <si>
    <t>2" Meter Sewer</t>
  </si>
  <si>
    <t>4017</t>
  </si>
  <si>
    <t>1 1/2" Meter Sewer</t>
  </si>
  <si>
    <t>4018</t>
  </si>
  <si>
    <t>1" Meter Sewer</t>
  </si>
  <si>
    <t>4019</t>
  </si>
  <si>
    <t>3/4" Meter Sewer</t>
  </si>
  <si>
    <t>5/8" Meter Sewer</t>
  </si>
  <si>
    <t>4021</t>
  </si>
  <si>
    <t>1 Commercial Sewage Income</t>
  </si>
  <si>
    <t>4031</t>
  </si>
  <si>
    <t>NSF Charge</t>
  </si>
  <si>
    <t>4033</t>
  </si>
  <si>
    <t>Interest Water &amp; Sewer</t>
  </si>
  <si>
    <t>Dumping Fees-Sewer</t>
  </si>
  <si>
    <t>4071</t>
  </si>
  <si>
    <t>Revenue ACOA Tower</t>
  </si>
  <si>
    <t>Government Transfers to Capital-Se</t>
  </si>
  <si>
    <t>4212</t>
  </si>
  <si>
    <t>2 Residential Water Income</t>
  </si>
  <si>
    <t>4216</t>
  </si>
  <si>
    <t>Water Commodity Charge</t>
  </si>
  <si>
    <t>2" Meter Water</t>
  </si>
  <si>
    <t>4218</t>
  </si>
  <si>
    <t>1 1/2" Meter Water</t>
  </si>
  <si>
    <t>4219</t>
  </si>
  <si>
    <t>1" Meter Water</t>
  </si>
  <si>
    <t>3/4" Meter Water</t>
  </si>
  <si>
    <t>4221</t>
  </si>
  <si>
    <t>5/8" Meter Water</t>
  </si>
  <si>
    <t>4222</t>
  </si>
  <si>
    <t>2 Commercial Water Income</t>
  </si>
  <si>
    <t>4223</t>
  </si>
  <si>
    <t>Public Fire Protection Service</t>
  </si>
  <si>
    <t>4231</t>
  </si>
  <si>
    <t>Interest-Water</t>
  </si>
  <si>
    <t>4251</t>
  </si>
  <si>
    <t>Inspection/Connection Fess-Water</t>
  </si>
  <si>
    <t>4252</t>
  </si>
  <si>
    <t>Utility sale of Assets</t>
  </si>
  <si>
    <t>4253</t>
  </si>
  <si>
    <t>Anomalous revenue</t>
  </si>
  <si>
    <t>4254</t>
  </si>
  <si>
    <t>Drawing Deposit for Project</t>
  </si>
  <si>
    <t>4290</t>
  </si>
  <si>
    <t>Capacity Building Fund Revenue</t>
  </si>
  <si>
    <t>4294</t>
  </si>
  <si>
    <t>Capacity Building Fund Sewer</t>
  </si>
  <si>
    <t>4298</t>
  </si>
  <si>
    <t>revenue infrastructure</t>
  </si>
  <si>
    <t>Government transfers for capital-Wa</t>
  </si>
  <si>
    <t>Electricity - Sewer</t>
  </si>
  <si>
    <t>5002</t>
  </si>
  <si>
    <t>account adjustments</t>
  </si>
  <si>
    <t>Internet for Pump House</t>
  </si>
  <si>
    <t>5005</t>
  </si>
  <si>
    <t>Internet Pump House Industrial Driv</t>
  </si>
  <si>
    <t>5011</t>
  </si>
  <si>
    <t>Interest &amp; Bank Charges Sewer</t>
  </si>
  <si>
    <t>Telephone for UV lights</t>
  </si>
  <si>
    <t>Interest on Capital Debt</t>
  </si>
  <si>
    <t>Capital Debt Retirement W&amp;S</t>
  </si>
  <si>
    <t>Bad Debts-Sewer</t>
  </si>
  <si>
    <t>Depreciation Sewer</t>
  </si>
  <si>
    <t>5032</t>
  </si>
  <si>
    <t>Depn of Contributions - Sewer</t>
  </si>
  <si>
    <t>5041</t>
  </si>
  <si>
    <t>Repairs &amp; Maintenance Sewer</t>
  </si>
  <si>
    <t>Property Tax - Sewer</t>
  </si>
  <si>
    <t>Libray Reno-proceeds to Town</t>
  </si>
  <si>
    <t>5056</t>
  </si>
  <si>
    <t>Freight Sewer</t>
  </si>
  <si>
    <t>5058</t>
  </si>
  <si>
    <t>Grass cutting Sewer</t>
  </si>
  <si>
    <t>5071</t>
  </si>
  <si>
    <t>Supplies - Sewer</t>
  </si>
  <si>
    <t>Supplies Water</t>
  </si>
  <si>
    <t>Capital Purchases-Sewer</t>
  </si>
  <si>
    <t>Memberships&amp; Dues Sewer</t>
  </si>
  <si>
    <t>5091</t>
  </si>
  <si>
    <t>General Share Sewer</t>
  </si>
  <si>
    <t>Professional fees - Sewer</t>
  </si>
  <si>
    <t>Professional fees-legal</t>
  </si>
  <si>
    <t>Wages - Sewer</t>
  </si>
  <si>
    <t>Telephone - Water</t>
  </si>
  <si>
    <t>Water Sewer Contract</t>
  </si>
  <si>
    <t>5511</t>
  </si>
  <si>
    <t>Electricity - Water</t>
  </si>
  <si>
    <t>5521</t>
  </si>
  <si>
    <t>Interest &amp; Bank Charges Water</t>
  </si>
  <si>
    <t>5531</t>
  </si>
  <si>
    <t>Loan Payments-Water</t>
  </si>
  <si>
    <t>Bad Debt-Water</t>
  </si>
  <si>
    <t>5541</t>
  </si>
  <si>
    <t>Depreciation Water</t>
  </si>
  <si>
    <t>5542</t>
  </si>
  <si>
    <t>Depn of Contributions- Water</t>
  </si>
  <si>
    <t>5549</t>
  </si>
  <si>
    <t xml:space="preserve"> Engineering fees, sewer</t>
  </si>
  <si>
    <t>Engineering Fees, Water</t>
  </si>
  <si>
    <t>5551</t>
  </si>
  <si>
    <t>Repairs &amp; Maintenace Water</t>
  </si>
  <si>
    <t>5552</t>
  </si>
  <si>
    <t>5553</t>
  </si>
  <si>
    <t>5554</t>
  </si>
  <si>
    <t>Grass Cutting</t>
  </si>
  <si>
    <t>5561</t>
  </si>
  <si>
    <t>Insurance-Water</t>
  </si>
  <si>
    <t>5562</t>
  </si>
  <si>
    <t>Software &amp; Computer Repairs</t>
  </si>
  <si>
    <t>5563</t>
  </si>
  <si>
    <t>Deposits on Purchases</t>
  </si>
  <si>
    <t>5564</t>
  </si>
  <si>
    <t>Software-Town Suite Support - Sewer</t>
  </si>
  <si>
    <t>5571</t>
  </si>
  <si>
    <t>Memberships &amp; Dues Water</t>
  </si>
  <si>
    <t>General Share Water</t>
  </si>
  <si>
    <t>5590</t>
  </si>
  <si>
    <t>Water Testing Expense</t>
  </si>
  <si>
    <t>5591</t>
  </si>
  <si>
    <t>Shipping Costs-Water Samples</t>
  </si>
  <si>
    <t>5592</t>
  </si>
  <si>
    <t>Shipping/Freight</t>
  </si>
  <si>
    <t>5601</t>
  </si>
  <si>
    <t>Meter Reading Expense</t>
  </si>
  <si>
    <t>5602</t>
  </si>
  <si>
    <t>Repairs - Water Building</t>
  </si>
  <si>
    <t>5611</t>
  </si>
  <si>
    <t>Property Taxes-Water</t>
  </si>
  <si>
    <t>5612</t>
  </si>
  <si>
    <t>equipment purchases</t>
  </si>
  <si>
    <t>5613</t>
  </si>
  <si>
    <t>Professional Fees - Water</t>
  </si>
  <si>
    <t>5615</t>
  </si>
  <si>
    <t>Freight - Water</t>
  </si>
  <si>
    <t>5700</t>
  </si>
  <si>
    <t>Capital Purchases-Water</t>
  </si>
  <si>
    <t>5900</t>
  </si>
  <si>
    <t>Cash over/short</t>
  </si>
  <si>
    <t>Town of Borden - Carleton</t>
  </si>
  <si>
    <t>Statement of Operations - Town</t>
  </si>
  <si>
    <t>Revenues</t>
  </si>
  <si>
    <t>Property taxes</t>
  </si>
  <si>
    <t>Grants - municipal support</t>
  </si>
  <si>
    <t>Grants - Job creation</t>
  </si>
  <si>
    <t>Grants - Recreation</t>
  </si>
  <si>
    <t>Fines &amp; Fees</t>
  </si>
  <si>
    <t>Licenses and permits</t>
  </si>
  <si>
    <t>Expenditure</t>
  </si>
  <si>
    <t>Police Protection</t>
  </si>
  <si>
    <t>Other</t>
  </si>
  <si>
    <t>Government transfers for capital (Note 7)</t>
  </si>
  <si>
    <t>Government transfers for operrations</t>
  </si>
  <si>
    <t>Annual surplus</t>
  </si>
  <si>
    <t>Statement of Expenditures - Town</t>
  </si>
  <si>
    <t>Expenditures</t>
  </si>
  <si>
    <t>Fire Protection</t>
  </si>
  <si>
    <t xml:space="preserve">   Amortization of tangible capital assets</t>
  </si>
  <si>
    <t xml:space="preserve">   Convention &amp; training</t>
  </si>
  <si>
    <t xml:space="preserve">   Gas, oil &amp; repairs</t>
  </si>
  <si>
    <t xml:space="preserve">   Honoraiums</t>
  </si>
  <si>
    <t xml:space="preserve">   Insurance</t>
  </si>
  <si>
    <t xml:space="preserve">   Interest on long term debt</t>
  </si>
  <si>
    <t xml:space="preserve">   Miscellaneous</t>
  </si>
  <si>
    <t xml:space="preserve">   Share of civic building costs</t>
  </si>
  <si>
    <t xml:space="preserve">   Suppies</t>
  </si>
  <si>
    <t xml:space="preserve">   Telecommunication</t>
  </si>
  <si>
    <t xml:space="preserve">   Water charge</t>
  </si>
  <si>
    <t>A. 1   Unrestricted Cash</t>
  </si>
  <si>
    <t xml:space="preserve">General Government </t>
  </si>
  <si>
    <t xml:space="preserve">   Advertising</t>
  </si>
  <si>
    <t xml:space="preserve">   Conference &amp; Travel</t>
  </si>
  <si>
    <t xml:space="preserve">   Community events</t>
  </si>
  <si>
    <t>41.30</t>
  </si>
  <si>
    <t>41. 9</t>
  </si>
  <si>
    <t>41.11</t>
  </si>
  <si>
    <t>41.13</t>
  </si>
  <si>
    <t>41.14</t>
  </si>
  <si>
    <t>41.15</t>
  </si>
  <si>
    <t>41.18</t>
  </si>
  <si>
    <t>41.27</t>
  </si>
  <si>
    <t>41.29</t>
  </si>
  <si>
    <t>41.31</t>
  </si>
  <si>
    <t>41.34</t>
  </si>
  <si>
    <t xml:space="preserve">   Copier Lease</t>
  </si>
  <si>
    <t xml:space="preserve">   Council Honoraria</t>
  </si>
  <si>
    <t xml:space="preserve">   Election</t>
  </si>
  <si>
    <t xml:space="preserve">   Interest &amp; Bank charges</t>
  </si>
  <si>
    <t xml:space="preserve">   Liability insurance</t>
  </si>
  <si>
    <t xml:space="preserve">   Memberships</t>
  </si>
  <si>
    <t xml:space="preserve">   Office</t>
  </si>
  <si>
    <t xml:space="preserve">   Professionals fees</t>
  </si>
  <si>
    <t xml:space="preserve">   Property tax rebates</t>
  </si>
  <si>
    <t xml:space="preserve">   Rent</t>
  </si>
  <si>
    <t xml:space="preserve">   Repairs and maintennance</t>
  </si>
  <si>
    <t xml:space="preserve">   Salaries and benefits</t>
  </si>
  <si>
    <t xml:space="preserve">   Telephone</t>
  </si>
  <si>
    <t xml:space="preserve">   Portion allocate to water and sewerage </t>
  </si>
  <si>
    <t>40. 8</t>
  </si>
  <si>
    <t>40.30</t>
  </si>
  <si>
    <t>40.25</t>
  </si>
  <si>
    <t>40. 9</t>
  </si>
  <si>
    <t>40. 3</t>
  </si>
  <si>
    <t>40. 6</t>
  </si>
  <si>
    <t>40. 7</t>
  </si>
  <si>
    <t>40. 5</t>
  </si>
  <si>
    <t>40. 1</t>
  </si>
  <si>
    <t>40.11</t>
  </si>
  <si>
    <t>40.13</t>
  </si>
  <si>
    <t>40.15</t>
  </si>
  <si>
    <t>40.16</t>
  </si>
  <si>
    <t>40.17</t>
  </si>
  <si>
    <t>40.24</t>
  </si>
  <si>
    <t>40.27</t>
  </si>
  <si>
    <t>40.34</t>
  </si>
  <si>
    <t>40.37</t>
  </si>
  <si>
    <t>40.42</t>
  </si>
  <si>
    <t>Properties and Planning</t>
  </si>
  <si>
    <t xml:space="preserve">   Civic building</t>
  </si>
  <si>
    <t xml:space="preserve">   Development Officer</t>
  </si>
  <si>
    <t xml:space="preserve">   Maintenance building</t>
  </si>
  <si>
    <t xml:space="preserve">   Marine rail park</t>
  </si>
  <si>
    <t>44.28</t>
  </si>
  <si>
    <t>44.33</t>
  </si>
  <si>
    <t>44.29</t>
  </si>
  <si>
    <t>44.34</t>
  </si>
  <si>
    <t>44.36</t>
  </si>
  <si>
    <t>44.38</t>
  </si>
  <si>
    <t xml:space="preserve">   Property tax - Other properties</t>
  </si>
  <si>
    <t>44.12</t>
  </si>
  <si>
    <t>Public Works</t>
  </si>
  <si>
    <t xml:space="preserve">   Electricity</t>
  </si>
  <si>
    <t xml:space="preserve">   Repairs and maintenance</t>
  </si>
  <si>
    <t xml:space="preserve">   Snow removal</t>
  </si>
  <si>
    <t xml:space="preserve">   Tractor, gas and repairs</t>
  </si>
  <si>
    <t xml:space="preserve">Recreation </t>
  </si>
  <si>
    <t xml:space="preserve">   Special events</t>
  </si>
  <si>
    <t xml:space="preserve">   Supplies and equipment</t>
  </si>
  <si>
    <t>45. 1</t>
  </si>
  <si>
    <t>45.12</t>
  </si>
  <si>
    <t>45.14</t>
  </si>
  <si>
    <t>45.18</t>
  </si>
  <si>
    <t>45.30</t>
  </si>
  <si>
    <t>45.33</t>
  </si>
  <si>
    <t xml:space="preserve">   Travel (Entertainment)</t>
  </si>
  <si>
    <t>45.35</t>
  </si>
  <si>
    <t>43.30</t>
  </si>
  <si>
    <t>43.29</t>
  </si>
  <si>
    <t>43.28</t>
  </si>
  <si>
    <t>43.21</t>
  </si>
  <si>
    <t>43.14</t>
  </si>
  <si>
    <t>43.13</t>
  </si>
  <si>
    <t>42.35</t>
  </si>
  <si>
    <t>Statement of Revenues - Town</t>
  </si>
  <si>
    <t>Fire dues</t>
  </si>
  <si>
    <t>Grants - job creation</t>
  </si>
  <si>
    <t>Grants - recreation</t>
  </si>
  <si>
    <t>Fines and fees</t>
  </si>
  <si>
    <t>20. 1</t>
  </si>
  <si>
    <t>20. 2</t>
  </si>
  <si>
    <t>20. 3</t>
  </si>
  <si>
    <t>20. 4</t>
  </si>
  <si>
    <t>20. 6</t>
  </si>
  <si>
    <t>20. 8</t>
  </si>
  <si>
    <t>20. 9</t>
  </si>
  <si>
    <t>20.11</t>
  </si>
  <si>
    <t>20.13</t>
  </si>
  <si>
    <t>Gain on sale of tangible capital assets</t>
  </si>
  <si>
    <t xml:space="preserve">   Canada Community Building Fund (CCBF)</t>
  </si>
  <si>
    <t xml:space="preserve">   Municipal Capital Expenditure Grant (MCEG)</t>
  </si>
  <si>
    <t xml:space="preserve">   Atlantic Canada Opportunities Agency</t>
  </si>
  <si>
    <t>20.14</t>
  </si>
  <si>
    <t>20.15</t>
  </si>
  <si>
    <t xml:space="preserve">Fire Protection </t>
  </si>
  <si>
    <t xml:space="preserve">Properties and planning </t>
  </si>
  <si>
    <t xml:space="preserve">Public Works </t>
  </si>
  <si>
    <t xml:space="preserve">Government transfers for capital </t>
  </si>
  <si>
    <t>Statement of Operations - Sewerage</t>
  </si>
  <si>
    <t>Residential</t>
  </si>
  <si>
    <t>Commercial</t>
  </si>
  <si>
    <t>Operating</t>
  </si>
  <si>
    <t xml:space="preserve">   Certified operator contractor</t>
  </si>
  <si>
    <t xml:space="preserve">   Bad debt</t>
  </si>
  <si>
    <t xml:space="preserve">   Interest and bank charges</t>
  </si>
  <si>
    <t xml:space="preserve">   Membership and dues</t>
  </si>
  <si>
    <t xml:space="preserve">   Professional fees</t>
  </si>
  <si>
    <t xml:space="preserve">   Property taxes</t>
  </si>
  <si>
    <t>General</t>
  </si>
  <si>
    <t>Allocation from general government</t>
  </si>
  <si>
    <t>21. 1</t>
  </si>
  <si>
    <t>21. 2</t>
  </si>
  <si>
    <t>Statement of Operations - Water</t>
  </si>
  <si>
    <t>Public fire protection service</t>
  </si>
  <si>
    <t>Inspection/connection fees</t>
  </si>
  <si>
    <t>22. 1</t>
  </si>
  <si>
    <t>22. 2</t>
  </si>
  <si>
    <t>22. 3</t>
  </si>
  <si>
    <t>22. 6</t>
  </si>
  <si>
    <t>46. 1</t>
  </si>
  <si>
    <t>46.21</t>
  </si>
  <si>
    <t>46.13</t>
  </si>
  <si>
    <t>46.20</t>
  </si>
  <si>
    <t>46.15</t>
  </si>
  <si>
    <t>46.16</t>
  </si>
  <si>
    <t>46. 5</t>
  </si>
  <si>
    <t>46.12</t>
  </si>
  <si>
    <t>46.14</t>
  </si>
  <si>
    <t>46.24</t>
  </si>
  <si>
    <t>46.30</t>
  </si>
  <si>
    <t>46.34</t>
  </si>
  <si>
    <t>Operating surplus (deficit)</t>
  </si>
  <si>
    <t>21. 7</t>
  </si>
  <si>
    <t>Annual surplus (deficit)</t>
  </si>
  <si>
    <t>21. 3</t>
  </si>
  <si>
    <t>47. 1</t>
  </si>
  <si>
    <t>47. 5</t>
  </si>
  <si>
    <t>47.12</t>
  </si>
  <si>
    <t>47.13</t>
  </si>
  <si>
    <t>47.14</t>
  </si>
  <si>
    <t>47.15</t>
  </si>
  <si>
    <t>47.16</t>
  </si>
  <si>
    <t xml:space="preserve">   Water testing</t>
  </si>
  <si>
    <t>47.18</t>
  </si>
  <si>
    <t>47.20</t>
  </si>
  <si>
    <t>47.21</t>
  </si>
  <si>
    <t>47.24</t>
  </si>
  <si>
    <t>47.30</t>
  </si>
  <si>
    <t>47.34</t>
  </si>
  <si>
    <t>Ice rentals</t>
  </si>
  <si>
    <t>Grants - salaries</t>
  </si>
  <si>
    <t>Grants - Province of PEI</t>
  </si>
  <si>
    <t>Sign rentals</t>
  </si>
  <si>
    <t>Miscellenaous</t>
  </si>
  <si>
    <t>Gym memebership fees</t>
  </si>
  <si>
    <t>Amortization of tangible capital assets</t>
  </si>
  <si>
    <t>Bad debts</t>
  </si>
  <si>
    <t>Canteen puchases</t>
  </si>
  <si>
    <t>Fuel</t>
  </si>
  <si>
    <t>Professional fees</t>
  </si>
  <si>
    <t>Property taxes and utilities</t>
  </si>
  <si>
    <t>Repairs and maintenance</t>
  </si>
  <si>
    <t>Salaries and benefits</t>
  </si>
  <si>
    <t>Snow removal</t>
  </si>
  <si>
    <t>48. 1</t>
  </si>
  <si>
    <t>48. 5</t>
  </si>
  <si>
    <t>48.11</t>
  </si>
  <si>
    <t>48.12</t>
  </si>
  <si>
    <t>48.13</t>
  </si>
  <si>
    <t>48.15</t>
  </si>
  <si>
    <t>48.16</t>
  </si>
  <si>
    <t>48.19</t>
  </si>
  <si>
    <t>48.20</t>
  </si>
  <si>
    <t>48.21</t>
  </si>
  <si>
    <t>48.24</t>
  </si>
  <si>
    <t>48.28</t>
  </si>
  <si>
    <t>48.29</t>
  </si>
  <si>
    <t>48.30</t>
  </si>
  <si>
    <t>23. 1</t>
  </si>
  <si>
    <t>23. 2</t>
  </si>
  <si>
    <t>23. 5</t>
  </si>
  <si>
    <t>23. 6</t>
  </si>
  <si>
    <t>23. 7</t>
  </si>
  <si>
    <t>23. 9</t>
  </si>
  <si>
    <t>23.11</t>
  </si>
  <si>
    <t>23.12</t>
  </si>
  <si>
    <t>23.13</t>
  </si>
  <si>
    <t>Consolidated Statement of Operations</t>
  </si>
  <si>
    <t>Town (S.3)</t>
  </si>
  <si>
    <t>Sewerage (S.5)</t>
  </si>
  <si>
    <t>Water (S.6)</t>
  </si>
  <si>
    <t>Gateway Arena (S.7)</t>
  </si>
  <si>
    <t>Accumulated surplus - beginning of year</t>
  </si>
  <si>
    <t>Accumulated surplus - End of year</t>
  </si>
  <si>
    <t>Statement of Operations - Gateway Arena</t>
  </si>
  <si>
    <t>New Town Office</t>
  </si>
  <si>
    <t>VISA Credit Card CCU</t>
  </si>
  <si>
    <t>Actual 2022/23</t>
  </si>
  <si>
    <t>Actual 2023/24</t>
  </si>
  <si>
    <t>Budget 2023/24</t>
  </si>
  <si>
    <t xml:space="preserve">   Library and capsite</t>
  </si>
  <si>
    <t>Gas Tax * MCEG Grant</t>
  </si>
  <si>
    <t>4610 ARENA  Other Capital Grants</t>
  </si>
  <si>
    <t>4620 ARENA Insurance Proceeds - Capital</t>
  </si>
  <si>
    <t>Other Capital Grants</t>
  </si>
  <si>
    <t>Insurance Proceeds - Capital</t>
  </si>
  <si>
    <t>4610</t>
  </si>
  <si>
    <t>4620</t>
  </si>
  <si>
    <t>Gas Tax &amp; MCEG</t>
  </si>
  <si>
    <t>4217 TOWN Misc Revenue - Events</t>
  </si>
  <si>
    <t xml:space="preserve">   Portion of civic building allocated to fire protection</t>
  </si>
  <si>
    <t>5347 TOWN Planning - Professional Fees</t>
  </si>
  <si>
    <t>45.12   Repairs &amp; Maintenance- Ball field</t>
  </si>
  <si>
    <t xml:space="preserve">   Repairs &amp; Maintenance- Ball field</t>
  </si>
  <si>
    <t>5340 TOWN Capital Assets from Gov</t>
  </si>
  <si>
    <t>5433 TOWN Capital Expenditure</t>
  </si>
  <si>
    <t>5075 WS Capital Purchases - Sewer</t>
  </si>
  <si>
    <t>5700 WS Capital Purchases - Water</t>
  </si>
  <si>
    <t>5800 ARENA Capital Expenditures</t>
  </si>
  <si>
    <t>CAPITAL EXPENDITURES</t>
  </si>
  <si>
    <t>4120 ARENA Skate Sponsors</t>
  </si>
  <si>
    <t>4100 ARENA Tournaments</t>
  </si>
  <si>
    <t>4153 ARENA Sales of Assets</t>
  </si>
  <si>
    <t>5072 ARENA Equipment Purchases</t>
  </si>
  <si>
    <t>5054 ARENA Advertising</t>
  </si>
  <si>
    <t>5305 TOWN Wages - Casual Employees</t>
  </si>
  <si>
    <t>5319 TOWN CPP - Summer</t>
  </si>
  <si>
    <t>5321 TOWN EI - Summer</t>
  </si>
  <si>
    <t>Revenue - Other Capital Grants</t>
  </si>
  <si>
    <t>4035</t>
  </si>
  <si>
    <t>Grants - Provincial Top up grant</t>
  </si>
  <si>
    <t>4300 WS Government transfers for capital- Water</t>
  </si>
  <si>
    <t>21. 7   Government transfers for capital - Sewer</t>
  </si>
  <si>
    <t>21. 3   Government transfers for capital - Water</t>
  </si>
  <si>
    <t>11 months</t>
  </si>
  <si>
    <t>Adjustment</t>
  </si>
  <si>
    <t>Projected 2023/24</t>
  </si>
  <si>
    <t>Budget 2024/25</t>
  </si>
  <si>
    <t>Year Ended March 31, 2025</t>
  </si>
  <si>
    <t>Year End: March 31, 2025</t>
  </si>
  <si>
    <t>ADJUSTMENT</t>
  </si>
  <si>
    <t>BUDGET 2024/25</t>
  </si>
  <si>
    <t>Trial Balance As at Feb 29, 2024</t>
  </si>
  <si>
    <t>Generated On: Mar 04, 2024</t>
  </si>
  <si>
    <t>Amount 11 Month</t>
  </si>
  <si>
    <t>Advised to use same figure for 2024/25</t>
  </si>
  <si>
    <t>Advised to use sameTax Credit for 2024/25</t>
  </si>
  <si>
    <t>Do Top Up Grant Reconcilation</t>
  </si>
  <si>
    <t>MCEG GRANT</t>
  </si>
  <si>
    <t>See 5340+5433 Roww 975-982</t>
  </si>
  <si>
    <t>Heat Pumps Rail park</t>
  </si>
  <si>
    <t>Apply for Canada Day Grant/Sponsors</t>
  </si>
  <si>
    <t>Based on 35% Fire Costs</t>
  </si>
  <si>
    <t>Depends on Staffing</t>
  </si>
  <si>
    <t>Dance Revenue</t>
  </si>
  <si>
    <t>Rate Study Underway</t>
  </si>
  <si>
    <t>ADJ</t>
  </si>
  <si>
    <t>Rate Study</t>
  </si>
  <si>
    <t>Gas Tax</t>
  </si>
  <si>
    <t>Heat Pumps</t>
  </si>
  <si>
    <t>Rate Increase????</t>
  </si>
  <si>
    <t>GIL</t>
  </si>
  <si>
    <t>Arthur</t>
  </si>
  <si>
    <t>Examine Canteen Operation</t>
  </si>
  <si>
    <t>Ball Hockey/ Look at Field Rental</t>
  </si>
  <si>
    <t>plus Zamboni?</t>
  </si>
  <si>
    <t>43.35 Wages - Streets</t>
  </si>
  <si>
    <t>Admin + Water +Sewer+ Jan Town</t>
  </si>
  <si>
    <t xml:space="preserve">   Wages -Streets</t>
  </si>
  <si>
    <t>5911WAGES-Streets</t>
  </si>
  <si>
    <t>43.35</t>
  </si>
  <si>
    <t>5810</t>
  </si>
  <si>
    <t>Wages-Seasonal Rec Employees</t>
  </si>
  <si>
    <t>5911</t>
  </si>
  <si>
    <t>Wages- Streets</t>
  </si>
  <si>
    <t>5756 TOWN Repairs &amp; Maintenance-Library+Wages</t>
  </si>
  <si>
    <t>Wages &amp; Supplies</t>
  </si>
  <si>
    <t>See 40.34</t>
  </si>
  <si>
    <t>sal &amp; Supplies</t>
  </si>
  <si>
    <t>Danny Murphy</t>
  </si>
  <si>
    <t>Tax Rate Group</t>
  </si>
  <si>
    <t>Commercial Taxable Assessment</t>
  </si>
  <si>
    <t>Non-Commercial Taxable Assessment</t>
  </si>
  <si>
    <t xml:space="preserve">                        Total&gt;&gt;</t>
  </si>
  <si>
    <t>2023 Assessment</t>
  </si>
  <si>
    <t>2024 Assessment</t>
  </si>
  <si>
    <t>TOTAL</t>
  </si>
  <si>
    <t>Assessment Change for 2024</t>
  </si>
  <si>
    <t>Non-Commercial</t>
  </si>
  <si>
    <t>Total</t>
  </si>
  <si>
    <t>one cent on the tax rates = $6,880</t>
  </si>
  <si>
    <t>BORDEN-CARLETON ASSESSMENT ROLL</t>
  </si>
  <si>
    <t>Plus new vehicle</t>
  </si>
  <si>
    <t>Includes new truck</t>
  </si>
  <si>
    <t>Utility Rate study</t>
  </si>
  <si>
    <t>Includes Sidewalks</t>
  </si>
  <si>
    <t>Supplies -Where</t>
  </si>
  <si>
    <t>at Maint Shop</t>
  </si>
  <si>
    <t>Last year of Contract</t>
  </si>
  <si>
    <t>Rates will be going up</t>
  </si>
  <si>
    <t>Now Heat Pumps</t>
  </si>
  <si>
    <t>5707 TOWN Utilities Read Road</t>
  </si>
  <si>
    <t>Check Formula</t>
  </si>
  <si>
    <t>5707</t>
  </si>
  <si>
    <t>Utilities</t>
  </si>
  <si>
    <t>Water &amp; Sewer now at Maintenance Shop</t>
  </si>
  <si>
    <t>Fees increased from 50/hr to 125/hr</t>
  </si>
  <si>
    <t>ARENA DANCE</t>
  </si>
  <si>
    <t>45.18   Day camp/programs &amp; Events expenses</t>
  </si>
  <si>
    <t>Move Dance to 45.35</t>
  </si>
  <si>
    <t>Move Dance to Here</t>
  </si>
  <si>
    <t>Contract expires Dec 31 2024</t>
  </si>
  <si>
    <t>(Plus 1,00 Fire fighters Accident Policy)</t>
  </si>
  <si>
    <t>Loan 72+74 &amp; 1/2 79</t>
  </si>
  <si>
    <t>2855 TOWN 2024 Fire truck loan</t>
  </si>
  <si>
    <t>2855</t>
  </si>
  <si>
    <t>2024 Fire Truck Loan</t>
  </si>
  <si>
    <t xml:space="preserve">   Province of PEI  &amp; Other</t>
  </si>
  <si>
    <t>Portion for Capital</t>
  </si>
  <si>
    <t>4191 TOWN Donations from Fire Dept</t>
  </si>
  <si>
    <t>Could be for Operating or Capital Expenditures</t>
  </si>
  <si>
    <t>prin 2024/25</t>
  </si>
  <si>
    <t xml:space="preserve">   These Costs are Capitalized</t>
  </si>
  <si>
    <t>Where does Capital/Revenue show???</t>
  </si>
  <si>
    <t>TOWN OF BORDEN-CARLETON FIRE DEPT COSTS</t>
  </si>
  <si>
    <t>2022-23</t>
  </si>
  <si>
    <t>BUDGET</t>
  </si>
  <si>
    <t>ACTUALS</t>
  </si>
  <si>
    <t>B</t>
  </si>
  <si>
    <t>Connventions &amp; Training</t>
  </si>
  <si>
    <t>C</t>
  </si>
  <si>
    <t>Equipment Gas &amp; Repairs</t>
  </si>
  <si>
    <t>D</t>
  </si>
  <si>
    <t>E</t>
  </si>
  <si>
    <t>F</t>
  </si>
  <si>
    <t>H</t>
  </si>
  <si>
    <t>I</t>
  </si>
  <si>
    <t>Uniforms</t>
  </si>
  <si>
    <t>Supplies/Uniforms</t>
  </si>
  <si>
    <t>J</t>
  </si>
  <si>
    <t>Telephone/Communications</t>
  </si>
  <si>
    <t>M</t>
  </si>
  <si>
    <t>Share of Building-  70% Fire Department</t>
  </si>
  <si>
    <t>FIRE DEPT - TOTAL OPERATING COSTS</t>
  </si>
  <si>
    <t>X</t>
  </si>
  <si>
    <t>Principal Repayments Fire Dept Loans</t>
  </si>
  <si>
    <t>XX</t>
  </si>
  <si>
    <t>TOTAL Fire Dept Costs 2021-22</t>
  </si>
  <si>
    <t xml:space="preserve">Less: Capital Grant Received </t>
  </si>
  <si>
    <t>Net Shareable Fire Dept Costs 2022/23</t>
  </si>
  <si>
    <t xml:space="preserve">District Share of Costs </t>
  </si>
  <si>
    <t>Shared based on base of $35,000 or 35% of total whichever is higher</t>
  </si>
  <si>
    <t>Amount Received from Borden Fire District 2022/23</t>
  </si>
  <si>
    <t>Balance owed to Town for 2022/23</t>
  </si>
  <si>
    <t>J XXXX</t>
  </si>
  <si>
    <t>Balance Prepaid  by District as of March 31 2022</t>
  </si>
  <si>
    <t>Prepaid Balance Owed to District as of March 31 2023</t>
  </si>
  <si>
    <t>BELL BUILDING - EXPENSES</t>
  </si>
  <si>
    <t>2021/22</t>
  </si>
  <si>
    <t>2022/23</t>
  </si>
  <si>
    <t>electricity</t>
  </si>
  <si>
    <t>Repairs &amp; Main Bell Building</t>
  </si>
  <si>
    <t>Miscellaneous Expenses Bell Building</t>
  </si>
  <si>
    <t>Janitorial Services - Bell Building</t>
  </si>
  <si>
    <t>Landscaping/Bell Building</t>
  </si>
  <si>
    <t>Utility Expense - Bell Building</t>
  </si>
  <si>
    <t>Fire Dept Allocation (70%)</t>
  </si>
  <si>
    <t>Projections</t>
  </si>
  <si>
    <t>2023-24</t>
  </si>
  <si>
    <t>2024-25</t>
  </si>
  <si>
    <t>Capital Expenditures/ Revenue</t>
  </si>
  <si>
    <t>Requirement from District 35,000 or 35% which ever is higher</t>
  </si>
  <si>
    <t xml:space="preserve">Note: Not included for Cost Sharing purposes: Depreciation or Hydrant Charge </t>
  </si>
  <si>
    <t xml:space="preserve">Note: Not included for Cost Sharing purposes: Contributions from Fire Dept </t>
  </si>
  <si>
    <t>See L19</t>
  </si>
  <si>
    <t>PROJECTIONS</t>
  </si>
  <si>
    <t>2023/24</t>
  </si>
  <si>
    <t>Library Portion</t>
  </si>
  <si>
    <t>Library = 30% See Fire services Tab</t>
  </si>
  <si>
    <t>5535 TOWN Fire Dept. Allocation of Bell Bldg</t>
  </si>
  <si>
    <t>Sale of Old Fire Truck</t>
  </si>
  <si>
    <t>Christmas in the Park, Meetings at Arena</t>
  </si>
  <si>
    <t>Fire Dept Share 70%</t>
  </si>
  <si>
    <t>See separate Tab</t>
  </si>
  <si>
    <t>See Row 526</t>
  </si>
  <si>
    <t>See Row 620</t>
  </si>
  <si>
    <t>Rate Study &amp; Audit</t>
  </si>
  <si>
    <t>Cleaning Sewers</t>
  </si>
  <si>
    <t>See what is in Budget by MRSB</t>
  </si>
  <si>
    <t>Rate Study/Audit</t>
  </si>
  <si>
    <t>Check on Brad, year expensive test</t>
  </si>
  <si>
    <t>IRAC Fees</t>
  </si>
  <si>
    <t>IRAC FEES</t>
  </si>
  <si>
    <t>Audit</t>
  </si>
  <si>
    <t>Trf Ins for Work done</t>
  </si>
  <si>
    <t>Equipment for Hauling Garbe</t>
  </si>
  <si>
    <t xml:space="preserve"> to Rail park in off season</t>
  </si>
  <si>
    <t>Eminate one dumpster</t>
  </si>
  <si>
    <t>Look at Tax Bills</t>
  </si>
  <si>
    <t>Sponsors???</t>
  </si>
  <si>
    <t>now have heat pumps</t>
  </si>
  <si>
    <t>Discuss life of Zamboni</t>
  </si>
  <si>
    <t>plus 5000</t>
  </si>
  <si>
    <t>Work  to be completed</t>
  </si>
  <si>
    <t>Brandon/Laurie/Frankie</t>
  </si>
  <si>
    <t>Only budgeted for 2 persons</t>
  </si>
  <si>
    <t>Summer Students  (2)</t>
  </si>
  <si>
    <t>GIL Taxes</t>
  </si>
  <si>
    <t>Planning Bylaw Review Street Paving/Sidewalks</t>
  </si>
  <si>
    <t>( Senir Teas) 6 x 300</t>
  </si>
  <si>
    <t>See Row 681</t>
  </si>
  <si>
    <t>(Dance budgeted to Break Even)</t>
  </si>
  <si>
    <t>See row 680</t>
  </si>
  <si>
    <t xml:space="preserve"> See Row 182</t>
  </si>
  <si>
    <t>See Row 601</t>
  </si>
  <si>
    <t>Adopt a Plant/ Dance/Rail Park</t>
  </si>
  <si>
    <t>2025/26</t>
  </si>
  <si>
    <t>2026/27</t>
  </si>
  <si>
    <t>Youth</t>
  </si>
  <si>
    <t>Adults</t>
  </si>
  <si>
    <t>Birthday Party</t>
  </si>
  <si>
    <t>Inflatables</t>
  </si>
  <si>
    <t>UTILITY SHARE OF SALARIES &amp; GEN GOVERNMENT EXPENSES 2022/23</t>
  </si>
  <si>
    <t>2020/21</t>
  </si>
  <si>
    <t>SEE</t>
  </si>
  <si>
    <t>PAYROLL</t>
  </si>
  <si>
    <t>DISTRIBUTION</t>
  </si>
  <si>
    <t>FILE</t>
  </si>
  <si>
    <t>From Payroll Breakdown</t>
  </si>
  <si>
    <t>Secure Document Shedding</t>
  </si>
  <si>
    <t>Coun/Staf Xmas Party</t>
  </si>
  <si>
    <t>(Not included)</t>
  </si>
  <si>
    <t>Equipment Repairs -Town</t>
  </si>
  <si>
    <t>Repairs &amp; Maint -Town</t>
  </si>
  <si>
    <t>internet fees</t>
  </si>
  <si>
    <t>Postage &amp; Courier</t>
  </si>
  <si>
    <t>Election expenses</t>
  </si>
  <si>
    <t>Utility Share</t>
  </si>
  <si>
    <t>Water</t>
  </si>
  <si>
    <t>Sewer</t>
  </si>
  <si>
    <t>Note: Percentage appears higher as Town Salaries do not include Recreation Salaries - See Payroll Distribution spreadsheet</t>
  </si>
  <si>
    <t>As in the past above does not include Audit Fee which is recorded as Audit fee on the town, Utilities and Arena</t>
  </si>
  <si>
    <t>PROJECTION</t>
  </si>
  <si>
    <t>2024/25</t>
  </si>
  <si>
    <t>See Utilities Share Tab &amp; Payroll Distribution</t>
  </si>
  <si>
    <t>P White</t>
  </si>
  <si>
    <t>Move to 5869</t>
  </si>
  <si>
    <t>5810 TOWN Wages - Seasonal Recreation Employees</t>
  </si>
  <si>
    <t>Day Camp &amp; Rail Park</t>
  </si>
  <si>
    <t>30% x 3 quarters</t>
  </si>
  <si>
    <t>ARENA</t>
  </si>
  <si>
    <t>Operating Surpllus(Deficit)</t>
  </si>
  <si>
    <t>Back Out Depreciation</t>
  </si>
  <si>
    <t>Net Operating Surplus(Deficit)</t>
  </si>
  <si>
    <t>Depreciation -Fire Service</t>
  </si>
  <si>
    <t>Depreciation- Gen Govt</t>
  </si>
  <si>
    <t>Depreciation  - Transportation Services</t>
  </si>
  <si>
    <t>Depreciation  - Environmental Services</t>
  </si>
  <si>
    <t>Depreciation - Recreational Services</t>
  </si>
  <si>
    <t>Depreciation - ARENA</t>
  </si>
  <si>
    <t>Total Town &amp; Arena</t>
  </si>
  <si>
    <t>Principal Repayments (LoANI)</t>
  </si>
  <si>
    <t>Fire Tanker</t>
  </si>
  <si>
    <t>Fire Pumper</t>
  </si>
  <si>
    <t>Storm Drains</t>
  </si>
  <si>
    <t>Deficit (not including Depreciation)</t>
  </si>
  <si>
    <t>corrected formula</t>
  </si>
  <si>
    <t>Operating surplus(deficit)</t>
  </si>
  <si>
    <t>formula corrected</t>
  </si>
  <si>
    <t>Opweating Deficit</t>
  </si>
  <si>
    <t>Cash Flow for - Principal Repayments</t>
  </si>
  <si>
    <t>Cash Flow for - Net Capital</t>
  </si>
  <si>
    <t>22. 5</t>
  </si>
  <si>
    <t>23. 3</t>
  </si>
  <si>
    <t>BB. 1</t>
  </si>
  <si>
    <t>DD. 1</t>
  </si>
  <si>
    <t>NN. 1</t>
  </si>
  <si>
    <t>TT. 1</t>
  </si>
  <si>
    <t>P 2023/24</t>
  </si>
  <si>
    <t>DIFFERENCE</t>
  </si>
  <si>
    <t>"%</t>
  </si>
  <si>
    <t>CASH FLOW</t>
  </si>
  <si>
    <t>Operaing Deficit</t>
  </si>
  <si>
    <t>Principal Repayments</t>
  </si>
  <si>
    <t>Ad  Back Depreciation</t>
  </si>
  <si>
    <t>TOWN OF BORDEN-CARLETON</t>
  </si>
  <si>
    <t>5 YEAR</t>
  </si>
  <si>
    <t>5 YEAR CAPITAL PLAN</t>
  </si>
  <si>
    <t>DRAFT</t>
  </si>
  <si>
    <t>2024-25 to 2028-29</t>
  </si>
  <si>
    <t>TOTAL  COST)</t>
  </si>
  <si>
    <t>HST</t>
  </si>
  <si>
    <t>YEAR 1</t>
  </si>
  <si>
    <t>YEAR 2</t>
  </si>
  <si>
    <t>YEAR 3</t>
  </si>
  <si>
    <t>YEAR 4</t>
  </si>
  <si>
    <t>YEAR 5</t>
  </si>
  <si>
    <t>&gt; 5 YRS</t>
  </si>
  <si>
    <t>GRANTS</t>
  </si>
  <si>
    <t>Capital</t>
  </si>
  <si>
    <t>Comments</t>
  </si>
  <si>
    <t>GL #</t>
  </si>
  <si>
    <t>ASSET NAME</t>
  </si>
  <si>
    <t>DESCRIPTION</t>
  </si>
  <si>
    <t>5 YRS</t>
  </si>
  <si>
    <t>IN COST</t>
  </si>
  <si>
    <t>APR24-MAR25</t>
  </si>
  <si>
    <t>APR25-MAR26</t>
  </si>
  <si>
    <t>APR26-MAR27</t>
  </si>
  <si>
    <t>APR 27-APR28</t>
  </si>
  <si>
    <t>APR 28-APR29</t>
  </si>
  <si>
    <t>Future</t>
  </si>
  <si>
    <t>YR 1</t>
  </si>
  <si>
    <t>LOAN</t>
  </si>
  <si>
    <t>TOWN</t>
  </si>
  <si>
    <t>Photocopier</t>
  </si>
  <si>
    <t>Lease new photocopier with folder</t>
  </si>
  <si>
    <t>TBD</t>
  </si>
  <si>
    <t>Purchase Folder/Inserter</t>
  </si>
  <si>
    <t>Gen Gov't Equip</t>
  </si>
  <si>
    <t>File Cabinets- Office Equipment</t>
  </si>
  <si>
    <t>Purchase New Town Hall</t>
  </si>
  <si>
    <t>????</t>
  </si>
  <si>
    <t>Generator (Backup)  Fire Hall</t>
  </si>
  <si>
    <t>Dual purpose Flooding/Sewer Lift St</t>
  </si>
  <si>
    <t>Fire Hall</t>
  </si>
  <si>
    <t>Furnace Replacement Fire Hall</t>
  </si>
  <si>
    <t>Replace 2004 GMC Pumperr Truck</t>
  </si>
  <si>
    <t>Capital Loan 35% District</t>
  </si>
  <si>
    <t>Fire Equipmenr</t>
  </si>
  <si>
    <t>General Equip Upgrades, boots/hel,ets/noozles/</t>
  </si>
  <si>
    <t>District Share</t>
  </si>
  <si>
    <t>Fire Equipment</t>
  </si>
  <si>
    <t>Replace Pagers/portable radio</t>
  </si>
  <si>
    <t>Repave Front of Fire Hall</t>
  </si>
  <si>
    <t>Other Protection</t>
  </si>
  <si>
    <t>Transportation Services</t>
  </si>
  <si>
    <t>Building- Read Rd</t>
  </si>
  <si>
    <t>Expand Maintenance Shop - Read Road</t>
  </si>
  <si>
    <t>Streets/Sidewalks</t>
  </si>
  <si>
    <t>Paving Side Streets  &amp; sidewalks, Parking Lots</t>
  </si>
  <si>
    <t>Sidewalk Assessment</t>
  </si>
  <si>
    <t>Sidewalks</t>
  </si>
  <si>
    <t>Replacement program</t>
  </si>
  <si>
    <t>Environmental Development Services/Tourism</t>
  </si>
  <si>
    <t>Destination Borden-Carleton- Phase 2</t>
  </si>
  <si>
    <t>???</t>
  </si>
  <si>
    <t>Destination Borden-Carleton- Phase 3</t>
  </si>
  <si>
    <t>XXXX</t>
  </si>
  <si>
    <t>Caboose- Lease</t>
  </si>
  <si>
    <t>Electrical (Water/Sewer under Utilities)</t>
  </si>
  <si>
    <t>Lighthouse-Lease</t>
  </si>
  <si>
    <t>Electrical/Painting/Signage (Water/Sewer under Utilities)</t>
  </si>
  <si>
    <t>Beautification</t>
  </si>
  <si>
    <t>Benches, Chairs Flower Boxes</t>
  </si>
  <si>
    <t>Boardwalk</t>
  </si>
  <si>
    <t>Boardwalk Improvements</t>
  </si>
  <si>
    <t>Lighthouse</t>
  </si>
  <si>
    <t>Painting of Lighthouse</t>
  </si>
  <si>
    <t>Signage</t>
  </si>
  <si>
    <t>LED Electronic Sign at Arena or Fire Hall</t>
  </si>
  <si>
    <t>Signage- Business Directory</t>
  </si>
  <si>
    <t>Backshore</t>
  </si>
  <si>
    <t>Improve Parking Areas</t>
  </si>
  <si>
    <t>Rail Park</t>
  </si>
  <si>
    <t>Delivery Roadway  to Lighthouse</t>
  </si>
  <si>
    <t>Gabezo</t>
  </si>
  <si>
    <t>Gazezo Base &amp; Electrical</t>
  </si>
  <si>
    <t>Jamie fox</t>
  </si>
  <si>
    <t>Maconii Building</t>
  </si>
  <si>
    <t>Move to Rail Park</t>
  </si>
  <si>
    <t>Recreation &amp; Cultural Services (Parks &amp; Playgrounds)</t>
  </si>
  <si>
    <t>Recreation Equip</t>
  </si>
  <si>
    <t>Heavy Duty Grass Mower (zero Turn)</t>
  </si>
  <si>
    <t>Pave Walkway to Tennis Courts</t>
  </si>
  <si>
    <t>Carleton Memorial Park</t>
  </si>
  <si>
    <t>Furniture/Plaques</t>
  </si>
  <si>
    <t>Playground Equip</t>
  </si>
  <si>
    <t>Replace Playground Equipment /Arena Park/Rail Park &amp; others</t>
  </si>
  <si>
    <t xml:space="preserve">Camera Monitoring </t>
  </si>
  <si>
    <t>Recreation &amp; Cultural Services (Library)</t>
  </si>
  <si>
    <t>Heating system library</t>
  </si>
  <si>
    <t>Library Building</t>
  </si>
  <si>
    <t>Library Parking Lot &amp; Walkway</t>
  </si>
  <si>
    <t>Library Furniture</t>
  </si>
  <si>
    <t>Tables/Chairs/Shelves</t>
  </si>
  <si>
    <t>TOTAL TOWN CAPITAL</t>
  </si>
  <si>
    <t>Recreation &amp; Cultural (ARENA)</t>
  </si>
  <si>
    <t>Tables and Chairs</t>
  </si>
  <si>
    <t>Tables 150, chairs 50</t>
  </si>
  <si>
    <t>Grant available</t>
  </si>
  <si>
    <t>Canteen Upgrades/Fryers</t>
  </si>
  <si>
    <t>Entire Plant Replacement</t>
  </si>
  <si>
    <t>Storage Building Arena</t>
  </si>
  <si>
    <t>Glass for Ice Surface</t>
  </si>
  <si>
    <t>Generator - Arena</t>
  </si>
  <si>
    <t>Replace Consule - Arena Clock</t>
  </si>
  <si>
    <t xml:space="preserve">TOTAL _ARENA </t>
  </si>
  <si>
    <t>TOTAL TOWN &amp; ARENA</t>
  </si>
  <si>
    <t>UTILITIES</t>
  </si>
  <si>
    <t>Sewer Borden Ave</t>
  </si>
  <si>
    <t>Sewer Extension  to Wayne Walsh property Borden Ave</t>
  </si>
  <si>
    <t>Sewer Distribution</t>
  </si>
  <si>
    <t>Replace Sewer Larerals (Utility Portion)</t>
  </si>
  <si>
    <t>Sewer Structure</t>
  </si>
  <si>
    <t>Flow Meter for Sewer Treatment Plant</t>
  </si>
  <si>
    <t>Sewer Structures</t>
  </si>
  <si>
    <t>Alarm System Remaining Lift Stations</t>
  </si>
  <si>
    <t>1705 354</t>
  </si>
  <si>
    <t>Sewer structures</t>
  </si>
  <si>
    <t>Manhole Back End Rink Parking Lot</t>
  </si>
  <si>
    <t>Manhole Top of Wharf Hill</t>
  </si>
  <si>
    <t>Is Stormwater Part of the Utility</t>
  </si>
  <si>
    <t>Replace Pump - Lift Stations</t>
  </si>
  <si>
    <t>Sewer Extenstion Caboose/Lighthouse</t>
  </si>
  <si>
    <t>Town of Borden-Carleton Rail Park</t>
  </si>
  <si>
    <t>SEWER TOTAL</t>
  </si>
  <si>
    <t>Water Meters</t>
  </si>
  <si>
    <t>Water Meters New Development</t>
  </si>
  <si>
    <t>Water Purification</t>
  </si>
  <si>
    <t>Hook up Backup Chlorinator</t>
  </si>
  <si>
    <t>Water Service</t>
  </si>
  <si>
    <t>Replace Water Service Shutoff Valves</t>
  </si>
  <si>
    <t>Water Extension Caboose/Lighthouse</t>
  </si>
  <si>
    <t>Water Source</t>
  </si>
  <si>
    <t>Replace Pumps -Wells</t>
  </si>
  <si>
    <t>Water Structure</t>
  </si>
  <si>
    <t>Backup Generator Pumphouse</t>
  </si>
  <si>
    <t xml:space="preserve">Water Level/Pressure Alarm Water Storage Tower </t>
  </si>
  <si>
    <t xml:space="preserve">TOTAL WATER </t>
  </si>
  <si>
    <t>GRAND TOTAL (ALL DEPARTMENTS)</t>
  </si>
  <si>
    <t>Projects at No Cost to Town</t>
  </si>
  <si>
    <t>Water/Sewer</t>
  </si>
  <si>
    <t xml:space="preserve">Dept of Finance - Industrial Drive </t>
  </si>
  <si>
    <t>Fabrication Yard</t>
  </si>
  <si>
    <t>OTHER CONSIDERATIONS</t>
  </si>
  <si>
    <t>Sewer Lagoon - Bull Rushes</t>
  </si>
  <si>
    <t>Community Garden</t>
  </si>
  <si>
    <t>Dog Park</t>
  </si>
  <si>
    <t>Hydrants throughout Town</t>
  </si>
  <si>
    <t>End of George Street Culverts</t>
  </si>
  <si>
    <t>End of Church S   Culvertst</t>
  </si>
  <si>
    <t>1 YEAR</t>
  </si>
  <si>
    <t>1 YR</t>
  </si>
  <si>
    <t>MCS</t>
  </si>
  <si>
    <t>Town Re Rail Park</t>
  </si>
  <si>
    <t>Town Re Rail park</t>
  </si>
  <si>
    <t>NET CAPITAL (Exp-Grants)</t>
  </si>
  <si>
    <t>Sewer Capital (Net)</t>
  </si>
  <si>
    <t>Water Capital</t>
  </si>
  <si>
    <t xml:space="preserve">Capital expenditures </t>
  </si>
  <si>
    <t>Formula Corrected</t>
  </si>
  <si>
    <t xml:space="preserve">Inc Arena </t>
  </si>
  <si>
    <t>Formula corrected</t>
  </si>
  <si>
    <t>Government transfers for capital  Inc Arena</t>
  </si>
  <si>
    <t>SEWER</t>
  </si>
  <si>
    <t>WATER</t>
  </si>
  <si>
    <t>1 YEAR CAPITAL PLAN</t>
  </si>
  <si>
    <t xml:space="preserve">ONE YEAR </t>
  </si>
  <si>
    <t>DRAFT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</si>
</sst>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42" formatCode="_-&quot;$&quot;* #,##0_-;\-&quot;$&quot;* #,##0_-;_-&quot;$&quot;* &quot;-&quot;_-;_-@_-"/>
    <numFmt numFmtId="43" formatCode="_-* #,##0.00_-;\-* #,##0.00_-;_-* &quot;-&quot;??_-;_-@_-"/>
    <numFmt numFmtId="164" formatCode="#,##0.00\ ;\-#,##0.00"/>
    <numFmt numFmtId="165" formatCode="_-* #,##0_-;\-* #,##0_-;_-* &quot;-&quot;??_-;_-@_-"/>
    <numFmt numFmtId="166" formatCode="0.00_ ;\-0.00\ "/>
    <numFmt numFmtId="167" formatCode="#,##0_ ;\-#,##0\ "/>
    <numFmt numFmtId="168" formatCode="#,##0_ ;[Red]\-#,##0\ "/>
    <numFmt numFmtId="169" formatCode="#,##0.00_ ;\-#,##0.00\ "/>
    <numFmt numFmtId="170" formatCode="#,##0;[Red]#,##0"/>
    <numFmt numFmtId="171" formatCode="_(* #,##0.00_);_(* \(#,##0.00\);_(* &quot;-&quot;??_);_(@_)"/>
    <numFmt numFmtId="172" formatCode="0.0%"/>
    <numFmt numFmtId="173" formatCode="#,##0.0_ ;\-#,##0.0\ "/>
    <numFmt numFmtId="174" formatCode="#,##0.000000000000_ ;\-#,##0.000000000000\ "/>
    <numFmt numFmtId="175" formatCode="0.00;[Red]0.00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6"/>
      <color rgb="FF000000"/>
      <name val="Arial"/>
      <family val="2"/>
    </font>
    <font>
      <b/>
      <sz val="6"/>
      <color rgb="FF0058CD"/>
      <name val="Courier New"/>
      <family val="3"/>
    </font>
    <font>
      <b/>
      <sz val="6"/>
      <color rgb="FF0000FF"/>
      <name val="Courier New"/>
      <family val="3"/>
    </font>
    <font>
      <b/>
      <sz val="6"/>
      <color rgb="FFEA4855"/>
      <name val="Arial"/>
      <family val="2"/>
    </font>
    <font>
      <b/>
      <sz val="6"/>
      <color rgb="FF00BEA3"/>
      <name val="Times New Roman"/>
      <family val="1"/>
    </font>
    <font>
      <b/>
      <i/>
      <sz val="8"/>
      <color rgb="FF000000"/>
      <name val="Times New Roman"/>
      <family val="1"/>
    </font>
    <font>
      <b/>
      <i/>
      <sz val="6"/>
      <color rgb="FFFF0000"/>
      <name val="Arial"/>
      <family val="2"/>
    </font>
    <font>
      <b/>
      <sz val="8"/>
      <color rgb="FF800080"/>
      <name val="Arial"/>
      <family val="2"/>
    </font>
    <font>
      <b/>
      <sz val="6"/>
      <color rgb="FF000000"/>
      <name val="Times New Roman"/>
      <family val="1"/>
    </font>
    <font>
      <b/>
      <sz val="6"/>
      <color rgb="FF6435A2"/>
      <name val="Courier New"/>
      <family val="3"/>
    </font>
    <font>
      <sz val="9"/>
      <color rgb="FF000000"/>
      <name val="Segoe UI"/>
      <family val="2"/>
    </font>
    <font>
      <b/>
      <sz val="6"/>
      <color rgb="FFFF9900"/>
      <name val="Arial"/>
      <family val="2"/>
    </font>
    <font>
      <b/>
      <sz val="6"/>
      <color rgb="FF3E97C1"/>
      <name val="Arial"/>
      <family val="2"/>
    </font>
    <font>
      <b/>
      <sz val="6"/>
      <color rgb="FF803600"/>
      <name val="Arial"/>
      <family val="2"/>
    </font>
    <font>
      <b/>
      <sz val="6"/>
      <color rgb="FF9B22DD"/>
      <name val="Arial"/>
      <family val="2"/>
    </font>
    <font>
      <sz val="10"/>
      <color rgb="FF000000"/>
      <name val="Courier New"/>
      <family val="3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000000"/>
      <name val="Arial"/>
      <family val="2"/>
    </font>
    <font>
      <b/>
      <i/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b/>
      <sz val="16"/>
      <color indexed="8"/>
      <name val="Calibri"/>
      <family val="2"/>
    </font>
    <font>
      <b/>
      <sz val="28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4" fillId="0" borderId="0"/>
    <xf numFmtId="0" fontId="12" fillId="0" borderId="0"/>
    <xf numFmtId="0" fontId="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42">
    <xf numFmtId="0" fontId="0" fillId="0" borderId="0" xfId="0"/>
    <xf numFmtId="0" fontId="22" fillId="0" borderId="0" xfId="0" quotePrefix="1" applyFont="1" applyAlignment="1">
      <alignment horizontal="left"/>
    </xf>
    <xf numFmtId="0" fontId="23" fillId="0" borderId="0" xfId="0" applyFont="1" applyAlignment="1">
      <alignment horizontal="left"/>
    </xf>
    <xf numFmtId="49" fontId="24" fillId="0" borderId="0" xfId="2" applyNumberFormat="1" applyFont="1" applyAlignment="1">
      <alignment horizontal="left"/>
    </xf>
    <xf numFmtId="0" fontId="25" fillId="0" borderId="0" xfId="0" applyFont="1"/>
    <xf numFmtId="49" fontId="24" fillId="0" borderId="0" xfId="3" applyNumberFormat="1" applyFont="1" applyAlignment="1">
      <alignment horizontal="left"/>
    </xf>
    <xf numFmtId="0" fontId="25" fillId="0" borderId="2" xfId="0" applyFont="1" applyBorder="1"/>
    <xf numFmtId="49" fontId="24" fillId="0" borderId="0" xfId="4" applyNumberFormat="1" applyFont="1" applyAlignment="1">
      <alignment horizontal="left"/>
    </xf>
    <xf numFmtId="49" fontId="26" fillId="0" borderId="0" xfId="6" applyNumberFormat="1" applyFont="1" applyAlignment="1">
      <alignment horizontal="left"/>
    </xf>
    <xf numFmtId="49" fontId="24" fillId="0" borderId="0" xfId="9" applyNumberFormat="1" applyFont="1" applyAlignment="1">
      <alignment horizontal="left"/>
    </xf>
    <xf numFmtId="49" fontId="24" fillId="0" borderId="0" xfId="5" applyNumberFormat="1" applyFont="1" applyAlignment="1">
      <alignment horizontal="left"/>
    </xf>
    <xf numFmtId="0" fontId="24" fillId="0" borderId="0" xfId="0" quotePrefix="1" applyFont="1" applyAlignment="1">
      <alignment horizontal="left"/>
    </xf>
    <xf numFmtId="0" fontId="27" fillId="0" borderId="0" xfId="0" applyFont="1"/>
    <xf numFmtId="0" fontId="26" fillId="0" borderId="0" xfId="0" applyFont="1" applyAlignment="1">
      <alignment horizontal="left"/>
    </xf>
    <xf numFmtId="0" fontId="26" fillId="0" borderId="0" xfId="0" quotePrefix="1" applyFont="1" applyAlignment="1">
      <alignment horizontal="center"/>
    </xf>
    <xf numFmtId="0" fontId="26" fillId="0" borderId="1" xfId="0" quotePrefix="1" applyFont="1" applyBorder="1" applyAlignment="1">
      <alignment horizontal="right"/>
    </xf>
    <xf numFmtId="0" fontId="26" fillId="0" borderId="1" xfId="0" quotePrefix="1" applyFont="1" applyBorder="1" applyAlignment="1">
      <alignment horizontal="left"/>
    </xf>
    <xf numFmtId="0" fontId="26" fillId="0" borderId="0" xfId="0" quotePrefix="1" applyFont="1" applyAlignment="1">
      <alignment horizontal="right"/>
    </xf>
    <xf numFmtId="0" fontId="26" fillId="0" borderId="0" xfId="0" quotePrefix="1" applyFont="1" applyAlignment="1">
      <alignment horizontal="left"/>
    </xf>
    <xf numFmtId="164" fontId="26" fillId="0" borderId="0" xfId="0" applyNumberFormat="1" applyFont="1" applyAlignment="1">
      <alignment horizontal="right"/>
    </xf>
    <xf numFmtId="164" fontId="26" fillId="0" borderId="1" xfId="0" applyNumberFormat="1" applyFont="1" applyBorder="1" applyAlignment="1">
      <alignment horizontal="right"/>
    </xf>
    <xf numFmtId="43" fontId="25" fillId="0" borderId="0" xfId="33" applyFont="1"/>
    <xf numFmtId="0" fontId="29" fillId="0" borderId="0" xfId="0" applyFont="1"/>
    <xf numFmtId="0" fontId="28" fillId="0" borderId="0" xfId="0" quotePrefix="1" applyFont="1" applyAlignment="1">
      <alignment horizontal="right"/>
    </xf>
    <xf numFmtId="0" fontId="28" fillId="0" borderId="0" xfId="0" quotePrefix="1" applyFont="1" applyAlignment="1">
      <alignment horizontal="left"/>
    </xf>
    <xf numFmtId="164" fontId="28" fillId="0" borderId="0" xfId="0" applyNumberFormat="1" applyFont="1" applyAlignment="1">
      <alignment horizontal="right"/>
    </xf>
    <xf numFmtId="43" fontId="27" fillId="0" borderId="0" xfId="33" applyFont="1"/>
    <xf numFmtId="0" fontId="30" fillId="0" borderId="0" xfId="0" quotePrefix="1" applyFont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Continuous"/>
    </xf>
    <xf numFmtId="0" fontId="27" fillId="2" borderId="0" xfId="0" applyFont="1" applyFill="1" applyAlignment="1">
      <alignment horizontal="center" vertical="center"/>
    </xf>
    <xf numFmtId="0" fontId="31" fillId="0" borderId="0" xfId="0" applyFont="1"/>
    <xf numFmtId="0" fontId="32" fillId="0" borderId="0" xfId="0" applyFont="1"/>
    <xf numFmtId="43" fontId="31" fillId="0" borderId="0" xfId="33" applyFont="1"/>
    <xf numFmtId="39" fontId="25" fillId="0" borderId="0" xfId="33" applyNumberFormat="1" applyFont="1"/>
    <xf numFmtId="39" fontId="27" fillId="0" borderId="0" xfId="33" applyNumberFormat="1" applyFont="1"/>
    <xf numFmtId="0" fontId="31" fillId="0" borderId="0" xfId="0" quotePrefix="1" applyFont="1"/>
    <xf numFmtId="167" fontId="31" fillId="0" borderId="0" xfId="33" applyNumberFormat="1" applyFont="1"/>
    <xf numFmtId="167" fontId="32" fillId="0" borderId="0" xfId="33" applyNumberFormat="1" applyFont="1"/>
    <xf numFmtId="166" fontId="31" fillId="0" borderId="0" xfId="0" applyNumberFormat="1" applyFont="1"/>
    <xf numFmtId="0" fontId="31" fillId="0" borderId="0" xfId="0" applyFont="1" applyAlignment="1">
      <alignment wrapText="1"/>
    </xf>
    <xf numFmtId="165" fontId="31" fillId="0" borderId="0" xfId="33" applyNumberFormat="1" applyFont="1"/>
    <xf numFmtId="165" fontId="32" fillId="0" borderId="0" xfId="33" applyNumberFormat="1" applyFont="1"/>
    <xf numFmtId="165" fontId="32" fillId="0" borderId="4" xfId="33" applyNumberFormat="1" applyFont="1" applyBorder="1"/>
    <xf numFmtId="165" fontId="32" fillId="0" borderId="1" xfId="33" applyNumberFormat="1" applyFont="1" applyBorder="1"/>
    <xf numFmtId="6" fontId="32" fillId="0" borderId="4" xfId="33" applyNumberFormat="1" applyFont="1" applyBorder="1"/>
    <xf numFmtId="38" fontId="32" fillId="0" borderId="1" xfId="33" applyNumberFormat="1" applyFont="1" applyBorder="1"/>
    <xf numFmtId="168" fontId="32" fillId="0" borderId="1" xfId="33" applyNumberFormat="1" applyFont="1" applyBorder="1"/>
    <xf numFmtId="42" fontId="32" fillId="0" borderId="4" xfId="33" applyNumberFormat="1" applyFont="1" applyBorder="1"/>
    <xf numFmtId="165" fontId="31" fillId="0" borderId="0" xfId="0" applyNumberFormat="1" applyFont="1"/>
    <xf numFmtId="0" fontId="31" fillId="0" borderId="5" xfId="0" applyFont="1" applyBorder="1"/>
    <xf numFmtId="0" fontId="32" fillId="0" borderId="5" xfId="0" applyFont="1" applyBorder="1"/>
    <xf numFmtId="167" fontId="32" fillId="0" borderId="4" xfId="33" applyNumberFormat="1" applyFont="1" applyBorder="1"/>
    <xf numFmtId="0" fontId="33" fillId="0" borderId="0" xfId="0" applyFont="1" applyAlignment="1">
      <alignment horizontal="centerContinuous"/>
    </xf>
    <xf numFmtId="0" fontId="34" fillId="0" borderId="0" xfId="0" applyFont="1" applyAlignment="1">
      <alignment horizontal="centerContinuous"/>
    </xf>
    <xf numFmtId="49" fontId="22" fillId="0" borderId="0" xfId="2" applyNumberFormat="1" applyFont="1" applyAlignment="1">
      <alignment horizontal="centerContinuous"/>
    </xf>
    <xf numFmtId="49" fontId="22" fillId="0" borderId="0" xfId="3" applyNumberFormat="1" applyFont="1" applyAlignment="1">
      <alignment horizontal="centerContinuous"/>
    </xf>
    <xf numFmtId="0" fontId="31" fillId="0" borderId="5" xfId="0" applyFont="1" applyBorder="1" applyAlignment="1">
      <alignment horizontal="center" vertical="center"/>
    </xf>
    <xf numFmtId="165" fontId="32" fillId="0" borderId="6" xfId="33" applyNumberFormat="1" applyFont="1" applyBorder="1"/>
    <xf numFmtId="0" fontId="31" fillId="0" borderId="7" xfId="0" applyFont="1" applyBorder="1"/>
    <xf numFmtId="167" fontId="31" fillId="0" borderId="0" xfId="0" applyNumberFormat="1" applyFont="1"/>
    <xf numFmtId="165" fontId="32" fillId="0" borderId="0" xfId="33" applyNumberFormat="1" applyFont="1" applyAlignment="1">
      <alignment horizontal="center"/>
    </xf>
    <xf numFmtId="165" fontId="32" fillId="0" borderId="0" xfId="33" quotePrefix="1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0" fontId="32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quotePrefix="1" applyFont="1" applyAlignment="1">
      <alignment horizontal="center"/>
    </xf>
    <xf numFmtId="0" fontId="36" fillId="0" borderId="1" xfId="0" quotePrefix="1" applyFont="1" applyBorder="1" applyAlignment="1">
      <alignment horizontal="right"/>
    </xf>
    <xf numFmtId="0" fontId="36" fillId="0" borderId="1" xfId="0" quotePrefix="1" applyFont="1" applyBorder="1" applyAlignment="1">
      <alignment horizontal="left"/>
    </xf>
    <xf numFmtId="0" fontId="36" fillId="0" borderId="0" xfId="0" quotePrefix="1" applyFont="1" applyAlignment="1">
      <alignment horizontal="right"/>
    </xf>
    <xf numFmtId="0" fontId="36" fillId="0" borderId="0" xfId="0" quotePrefix="1" applyFont="1" applyAlignment="1">
      <alignment horizontal="left"/>
    </xf>
    <xf numFmtId="164" fontId="36" fillId="0" borderId="0" xfId="0" applyNumberFormat="1" applyFont="1" applyAlignment="1">
      <alignment horizontal="right"/>
    </xf>
    <xf numFmtId="164" fontId="36" fillId="0" borderId="1" xfId="0" applyNumberFormat="1" applyFont="1" applyBorder="1" applyAlignment="1">
      <alignment horizontal="right"/>
    </xf>
    <xf numFmtId="164" fontId="22" fillId="3" borderId="3" xfId="0" applyNumberFormat="1" applyFont="1" applyFill="1" applyBorder="1" applyAlignment="1">
      <alignment horizontal="right"/>
    </xf>
    <xf numFmtId="164" fontId="24" fillId="3" borderId="3" xfId="0" applyNumberFormat="1" applyFont="1" applyFill="1" applyBorder="1" applyAlignment="1">
      <alignment horizontal="right"/>
    </xf>
    <xf numFmtId="0" fontId="23" fillId="0" borderId="0" xfId="0" quotePrefix="1" applyFont="1" applyAlignment="1">
      <alignment horizontal="center"/>
    </xf>
    <xf numFmtId="0" fontId="23" fillId="0" borderId="1" xfId="0" quotePrefix="1" applyFont="1" applyBorder="1" applyAlignment="1">
      <alignment horizontal="right"/>
    </xf>
    <xf numFmtId="0" fontId="23" fillId="0" borderId="1" xfId="0" quotePrefix="1" applyFont="1" applyBorder="1" applyAlignment="1">
      <alignment horizontal="left"/>
    </xf>
    <xf numFmtId="0" fontId="23" fillId="0" borderId="0" xfId="0" quotePrefix="1" applyFont="1" applyAlignment="1">
      <alignment horizontal="right"/>
    </xf>
    <xf numFmtId="0" fontId="23" fillId="0" borderId="0" xfId="0" quotePrefix="1" applyFont="1" applyAlignment="1">
      <alignment horizontal="left"/>
    </xf>
    <xf numFmtId="164" fontId="23" fillId="0" borderId="0" xfId="0" applyNumberFormat="1" applyFont="1" applyAlignment="1">
      <alignment horizontal="right"/>
    </xf>
    <xf numFmtId="164" fontId="23" fillId="0" borderId="1" xfId="0" applyNumberFormat="1" applyFont="1" applyBorder="1" applyAlignment="1">
      <alignment horizontal="right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23" fillId="0" borderId="3" xfId="0" applyNumberFormat="1" applyFont="1" applyBorder="1" applyAlignment="1">
      <alignment horizontal="right"/>
    </xf>
    <xf numFmtId="0" fontId="37" fillId="0" borderId="5" xfId="0" applyFont="1" applyBorder="1" applyAlignment="1">
      <alignment horizontal="center" vertical="center"/>
    </xf>
    <xf numFmtId="0" fontId="25" fillId="3" borderId="0" xfId="0" applyFont="1" applyFill="1"/>
    <xf numFmtId="0" fontId="31" fillId="3" borderId="0" xfId="0" applyFont="1" applyFill="1"/>
    <xf numFmtId="0" fontId="38" fillId="0" borderId="0" xfId="0" applyFont="1"/>
    <xf numFmtId="49" fontId="24" fillId="4" borderId="0" xfId="9" applyNumberFormat="1" applyFont="1" applyFill="1" applyAlignment="1">
      <alignment horizontal="left"/>
    </xf>
    <xf numFmtId="49" fontId="24" fillId="0" borderId="0" xfId="6" applyNumberFormat="1" applyFont="1" applyAlignment="1">
      <alignment horizontal="left"/>
    </xf>
    <xf numFmtId="164" fontId="39" fillId="3" borderId="3" xfId="0" applyNumberFormat="1" applyFont="1" applyFill="1" applyBorder="1" applyAlignment="1">
      <alignment horizontal="right"/>
    </xf>
    <xf numFmtId="0" fontId="40" fillId="0" borderId="0" xfId="0" applyFont="1"/>
    <xf numFmtId="0" fontId="31" fillId="0" borderId="1" xfId="0" applyFont="1" applyBorder="1"/>
    <xf numFmtId="167" fontId="31" fillId="0" borderId="0" xfId="0" quotePrefix="1" applyNumberFormat="1" applyFont="1"/>
    <xf numFmtId="165" fontId="31" fillId="0" borderId="0" xfId="0" quotePrefix="1" applyNumberFormat="1" applyFont="1"/>
    <xf numFmtId="165" fontId="32" fillId="0" borderId="0" xfId="0" applyNumberFormat="1" applyFont="1"/>
    <xf numFmtId="0" fontId="31" fillId="3" borderId="0" xfId="0" quotePrefix="1" applyFont="1" applyFill="1"/>
    <xf numFmtId="169" fontId="25" fillId="0" borderId="0" xfId="0" applyNumberFormat="1" applyFont="1"/>
    <xf numFmtId="169" fontId="27" fillId="0" borderId="0" xfId="33" applyNumberFormat="1" applyFont="1"/>
    <xf numFmtId="169" fontId="25" fillId="0" borderId="0" xfId="33" applyNumberFormat="1" applyFont="1"/>
    <xf numFmtId="169" fontId="25" fillId="3" borderId="0" xfId="0" applyNumberFormat="1" applyFont="1" applyFill="1"/>
    <xf numFmtId="167" fontId="25" fillId="0" borderId="0" xfId="0" applyNumberFormat="1" applyFont="1"/>
    <xf numFmtId="167" fontId="27" fillId="0" borderId="0" xfId="33" applyNumberFormat="1" applyFont="1"/>
    <xf numFmtId="167" fontId="25" fillId="0" borderId="0" xfId="33" applyNumberFormat="1" applyFont="1"/>
    <xf numFmtId="167" fontId="25" fillId="3" borderId="0" xfId="0" applyNumberFormat="1" applyFont="1" applyFill="1"/>
    <xf numFmtId="170" fontId="25" fillId="0" borderId="0" xfId="0" applyNumberFormat="1" applyFont="1"/>
    <xf numFmtId="9" fontId="25" fillId="0" borderId="0" xfId="0" applyNumberFormat="1" applyFont="1"/>
    <xf numFmtId="167" fontId="25" fillId="3" borderId="0" xfId="33" applyNumberFormat="1" applyFont="1" applyFill="1"/>
    <xf numFmtId="169" fontId="25" fillId="3" borderId="0" xfId="33" applyNumberFormat="1" applyFont="1" applyFill="1"/>
    <xf numFmtId="2" fontId="25" fillId="0" borderId="0" xfId="0" applyNumberFormat="1" applyFont="1"/>
    <xf numFmtId="39" fontId="25" fillId="3" borderId="0" xfId="33" applyNumberFormat="1" applyFont="1" applyFill="1"/>
    <xf numFmtId="49" fontId="24" fillId="3" borderId="0" xfId="9" applyNumberFormat="1" applyFont="1" applyFill="1" applyAlignment="1">
      <alignment horizontal="left"/>
    </xf>
    <xf numFmtId="167" fontId="27" fillId="3" borderId="0" xfId="0" applyNumberFormat="1" applyFont="1" applyFill="1"/>
    <xf numFmtId="49" fontId="26" fillId="3" borderId="0" xfId="6" applyNumberFormat="1" applyFont="1" applyFill="1" applyAlignment="1">
      <alignment horizontal="left"/>
    </xf>
    <xf numFmtId="0" fontId="27" fillId="3" borderId="0" xfId="0" applyFont="1" applyFill="1"/>
    <xf numFmtId="167" fontId="31" fillId="3" borderId="0" xfId="33" applyNumberFormat="1" applyFont="1" applyFill="1"/>
    <xf numFmtId="167" fontId="31" fillId="0" borderId="4" xfId="33" applyNumberFormat="1" applyFont="1" applyBorder="1"/>
    <xf numFmtId="0" fontId="41" fillId="0" borderId="0" xfId="0" applyFont="1"/>
    <xf numFmtId="43" fontId="0" fillId="0" borderId="0" xfId="0" applyNumberFormat="1"/>
    <xf numFmtId="0" fontId="0" fillId="0" borderId="0" xfId="0" applyProtection="1">
      <protection locked="0"/>
    </xf>
    <xf numFmtId="171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25" fillId="0" borderId="0" xfId="0" applyFont="1" applyAlignment="1">
      <alignment horizontal="center" wrapText="1"/>
    </xf>
    <xf numFmtId="0" fontId="25" fillId="0" borderId="0" xfId="0" applyFont="1" applyProtection="1">
      <protection locked="0"/>
    </xf>
    <xf numFmtId="171" fontId="25" fillId="0" borderId="0" xfId="0" applyNumberFormat="1" applyFont="1" applyProtection="1">
      <protection locked="0"/>
    </xf>
    <xf numFmtId="43" fontId="25" fillId="0" borderId="0" xfId="0" applyNumberFormat="1" applyFont="1"/>
    <xf numFmtId="10" fontId="25" fillId="0" borderId="0" xfId="0" applyNumberFormat="1" applyFont="1" applyProtection="1">
      <protection locked="0"/>
    </xf>
    <xf numFmtId="0" fontId="25" fillId="0" borderId="0" xfId="0" applyFont="1" applyAlignment="1" applyProtection="1">
      <alignment horizontal="right"/>
      <protection locked="0"/>
    </xf>
    <xf numFmtId="171" fontId="25" fillId="0" borderId="0" xfId="0" applyNumberFormat="1" applyFont="1" applyAlignment="1" applyProtection="1">
      <alignment horizontal="right"/>
      <protection locked="0"/>
    </xf>
    <xf numFmtId="0" fontId="25" fillId="0" borderId="0" xfId="0" applyFont="1" applyAlignment="1">
      <alignment horizontal="right"/>
    </xf>
    <xf numFmtId="0" fontId="25" fillId="0" borderId="9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7" fillId="0" borderId="10" xfId="0" applyFont="1" applyBorder="1" applyAlignment="1">
      <alignment horizontal="right"/>
    </xf>
    <xf numFmtId="0" fontId="25" fillId="0" borderId="9" xfId="0" applyFont="1" applyBorder="1" applyProtection="1">
      <protection locked="0"/>
    </xf>
    <xf numFmtId="171" fontId="25" fillId="0" borderId="4" xfId="0" applyNumberFormat="1" applyFont="1" applyBorder="1" applyProtection="1">
      <protection locked="0"/>
    </xf>
    <xf numFmtId="0" fontId="27" fillId="0" borderId="0" xfId="0" applyFont="1" applyProtection="1">
      <protection locked="0"/>
    </xf>
    <xf numFmtId="171" fontId="27" fillId="0" borderId="0" xfId="0" applyNumberFormat="1" applyFont="1" applyProtection="1">
      <protection locked="0"/>
    </xf>
    <xf numFmtId="172" fontId="27" fillId="0" borderId="0" xfId="34" applyNumberFormat="1" applyFont="1" applyFill="1" applyBorder="1" applyProtection="1">
      <protection locked="0"/>
    </xf>
    <xf numFmtId="171" fontId="42" fillId="0" borderId="0" xfId="0" applyNumberFormat="1" applyFont="1" applyProtection="1">
      <protection locked="0"/>
    </xf>
    <xf numFmtId="0" fontId="43" fillId="0" borderId="0" xfId="0" applyFont="1"/>
    <xf numFmtId="173" fontId="25" fillId="0" borderId="0" xfId="0" applyNumberFormat="1" applyFont="1"/>
    <xf numFmtId="174" fontId="25" fillId="0" borderId="0" xfId="0" applyNumberFormat="1" applyFont="1"/>
    <xf numFmtId="170" fontId="25" fillId="3" borderId="0" xfId="0" applyNumberFormat="1" applyFont="1" applyFill="1"/>
    <xf numFmtId="0" fontId="45" fillId="0" borderId="0" xfId="0" applyFont="1" applyAlignment="1">
      <alignment horizontal="left"/>
    </xf>
    <xf numFmtId="169" fontId="0" fillId="0" borderId="0" xfId="0" applyNumberFormat="1"/>
    <xf numFmtId="0" fontId="46" fillId="0" borderId="0" xfId="0" applyFont="1" applyAlignment="1">
      <alignment horizontal="center"/>
    </xf>
    <xf numFmtId="169" fontId="46" fillId="0" borderId="0" xfId="0" applyNumberFormat="1" applyFont="1" applyAlignment="1">
      <alignment horizontal="center"/>
    </xf>
    <xf numFmtId="0" fontId="46" fillId="0" borderId="1" xfId="0" applyFont="1" applyBorder="1" applyAlignment="1">
      <alignment horizontal="center"/>
    </xf>
    <xf numFmtId="169" fontId="46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169" fontId="27" fillId="0" borderId="0" xfId="0" applyNumberFormat="1" applyFont="1"/>
    <xf numFmtId="0" fontId="27" fillId="0" borderId="0" xfId="0" applyFont="1" applyAlignment="1">
      <alignment horizontal="center"/>
    </xf>
    <xf numFmtId="0" fontId="44" fillId="0" borderId="0" xfId="0" applyFont="1"/>
    <xf numFmtId="0" fontId="24" fillId="0" borderId="0" xfId="0" quotePrefix="1" applyFont="1" applyAlignment="1">
      <alignment horizontal="right"/>
    </xf>
    <xf numFmtId="169" fontId="24" fillId="0" borderId="0" xfId="0" applyNumberFormat="1" applyFont="1" applyAlignment="1">
      <alignment horizontal="right"/>
    </xf>
    <xf numFmtId="0" fontId="44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47" fillId="0" borderId="0" xfId="0" applyFont="1" applyAlignment="1">
      <alignment horizontal="center"/>
    </xf>
    <xf numFmtId="169" fontId="47" fillId="0" borderId="0" xfId="0" applyNumberFormat="1" applyFont="1" applyAlignment="1">
      <alignment horizontal="center"/>
    </xf>
    <xf numFmtId="169" fontId="0" fillId="0" borderId="1" xfId="0" applyNumberFormat="1" applyBorder="1"/>
    <xf numFmtId="169" fontId="44" fillId="3" borderId="0" xfId="0" applyNumberFormat="1" applyFont="1" applyFill="1"/>
    <xf numFmtId="0" fontId="42" fillId="0" borderId="0" xfId="0" applyFont="1" applyAlignment="1">
      <alignment horizontal="right"/>
    </xf>
    <xf numFmtId="0" fontId="25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169" fontId="25" fillId="0" borderId="0" xfId="0" applyNumberFormat="1" applyFont="1" applyAlignment="1">
      <alignment horizontal="right"/>
    </xf>
    <xf numFmtId="169" fontId="25" fillId="0" borderId="0" xfId="33" applyNumberFormat="1" applyFont="1" applyAlignment="1">
      <alignment horizontal="right"/>
    </xf>
    <xf numFmtId="0" fontId="25" fillId="0" borderId="11" xfId="0" quotePrefix="1" applyFont="1" applyBorder="1" applyAlignment="1">
      <alignment horizontal="left"/>
    </xf>
    <xf numFmtId="0" fontId="25" fillId="0" borderId="11" xfId="0" quotePrefix="1" applyFont="1" applyBorder="1" applyAlignment="1">
      <alignment horizontal="center"/>
    </xf>
    <xf numFmtId="169" fontId="25" fillId="0" borderId="0" xfId="0" quotePrefix="1" applyNumberFormat="1" applyFont="1" applyAlignment="1">
      <alignment horizontal="right"/>
    </xf>
    <xf numFmtId="169" fontId="27" fillId="0" borderId="0" xfId="0" applyNumberFormat="1" applyFont="1" applyAlignment="1">
      <alignment horizontal="right"/>
    </xf>
    <xf numFmtId="169" fontId="48" fillId="0" borderId="0" xfId="0" applyNumberFormat="1" applyFont="1" applyAlignment="1">
      <alignment horizontal="right"/>
    </xf>
    <xf numFmtId="0" fontId="44" fillId="0" borderId="0" xfId="0" quotePrefix="1" applyFont="1" applyAlignment="1">
      <alignment horizontal="right"/>
    </xf>
    <xf numFmtId="167" fontId="49" fillId="0" borderId="0" xfId="0" quotePrefix="1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50" fillId="0" borderId="0" xfId="0" quotePrefix="1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9" fontId="27" fillId="3" borderId="0" xfId="0" applyNumberFormat="1" applyFont="1" applyFill="1"/>
    <xf numFmtId="167" fontId="43" fillId="0" borderId="0" xfId="0" applyNumberFormat="1" applyFont="1" applyAlignment="1">
      <alignment horizontal="left" vertical="top"/>
    </xf>
    <xf numFmtId="167" fontId="50" fillId="3" borderId="0" xfId="0" quotePrefix="1" applyNumberFormat="1" applyFont="1" applyFill="1" applyAlignment="1">
      <alignment horizontal="right"/>
    </xf>
    <xf numFmtId="0" fontId="0" fillId="0" borderId="0" xfId="0" applyAlignment="1">
      <alignment horizontal="right" vertical="top"/>
    </xf>
    <xf numFmtId="0" fontId="46" fillId="0" borderId="0" xfId="0" applyFont="1" applyAlignment="1">
      <alignment horizontal="right" vertical="top"/>
    </xf>
    <xf numFmtId="0" fontId="44" fillId="0" borderId="0" xfId="0" applyFont="1" applyAlignment="1">
      <alignment horizontal="right" vertical="top"/>
    </xf>
    <xf numFmtId="0" fontId="42" fillId="0" borderId="0" xfId="0" applyFont="1" applyAlignment="1">
      <alignment horizontal="right" vertical="top"/>
    </xf>
    <xf numFmtId="167" fontId="25" fillId="0" borderId="0" xfId="0" applyNumberFormat="1" applyFont="1" applyAlignment="1">
      <alignment horizontal="right" vertical="top"/>
    </xf>
    <xf numFmtId="167" fontId="25" fillId="0" borderId="0" xfId="0" quotePrefix="1" applyNumberFormat="1" applyFont="1" applyAlignment="1">
      <alignment horizontal="right" vertical="top"/>
    </xf>
    <xf numFmtId="167" fontId="0" fillId="0" borderId="0" xfId="0" applyNumberFormat="1" applyAlignment="1">
      <alignment horizontal="right" vertical="top"/>
    </xf>
    <xf numFmtId="167" fontId="25" fillId="3" borderId="0" xfId="0" quotePrefix="1" applyNumberFormat="1" applyFont="1" applyFill="1" applyAlignment="1">
      <alignment horizontal="right" vertical="top"/>
    </xf>
    <xf numFmtId="167" fontId="44" fillId="0" borderId="0" xfId="0" applyNumberFormat="1" applyFont="1" applyAlignment="1">
      <alignment horizontal="right" vertical="top"/>
    </xf>
    <xf numFmtId="39" fontId="25" fillId="0" borderId="0" xfId="33" applyNumberFormat="1" applyFont="1" applyFill="1"/>
    <xf numFmtId="0" fontId="42" fillId="0" borderId="0" xfId="0" applyFont="1"/>
    <xf numFmtId="169" fontId="27" fillId="0" borderId="0" xfId="0" quotePrefix="1" applyNumberFormat="1" applyFont="1" applyAlignment="1">
      <alignment horizontal="center"/>
    </xf>
    <xf numFmtId="0" fontId="27" fillId="0" borderId="0" xfId="0" quotePrefix="1" applyFont="1" applyAlignment="1">
      <alignment horizontal="center"/>
    </xf>
    <xf numFmtId="0" fontId="26" fillId="3" borderId="0" xfId="0" quotePrefix="1" applyFont="1" applyFill="1" applyAlignment="1">
      <alignment horizontal="right"/>
    </xf>
    <xf numFmtId="0" fontId="24" fillId="0" borderId="0" xfId="0" quotePrefix="1" applyFont="1" applyAlignment="1">
      <alignment horizontal="center"/>
    </xf>
    <xf numFmtId="164" fontId="24" fillId="0" borderId="0" xfId="0" applyNumberFormat="1" applyFont="1" applyAlignment="1">
      <alignment horizontal="right"/>
    </xf>
    <xf numFmtId="169" fontId="26" fillId="0" borderId="0" xfId="0" quotePrefix="1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51" fillId="0" borderId="0" xfId="0" quotePrefix="1" applyFont="1" applyAlignment="1">
      <alignment horizontal="center" wrapText="1"/>
    </xf>
    <xf numFmtId="0" fontId="51" fillId="3" borderId="0" xfId="0" quotePrefix="1" applyFont="1" applyFill="1" applyAlignment="1">
      <alignment horizontal="center" wrapText="1"/>
    </xf>
    <xf numFmtId="0" fontId="51" fillId="0" borderId="0" xfId="0" quotePrefix="1" applyFont="1" applyAlignment="1">
      <alignment horizontal="center"/>
    </xf>
    <xf numFmtId="164" fontId="25" fillId="0" borderId="0" xfId="0" applyNumberFormat="1" applyFont="1"/>
    <xf numFmtId="10" fontId="25" fillId="0" borderId="0" xfId="34" applyNumberFormat="1" applyFont="1"/>
    <xf numFmtId="169" fontId="25" fillId="0" borderId="0" xfId="34" applyNumberFormat="1" applyFont="1" applyAlignment="1">
      <alignment horizontal="right"/>
    </xf>
    <xf numFmtId="169" fontId="27" fillId="0" borderId="0" xfId="0" applyNumberFormat="1" applyFont="1" applyAlignment="1">
      <alignment horizontal="center"/>
    </xf>
    <xf numFmtId="169" fontId="0" fillId="3" borderId="0" xfId="0" applyNumberFormat="1" applyFill="1"/>
    <xf numFmtId="167" fontId="0" fillId="0" borderId="0" xfId="0" applyNumberFormat="1"/>
    <xf numFmtId="167" fontId="26" fillId="0" borderId="0" xfId="0" quotePrefix="1" applyNumberFormat="1" applyFont="1" applyAlignment="1">
      <alignment horizontal="right" vertical="top"/>
    </xf>
    <xf numFmtId="167" fontId="25" fillId="0" borderId="0" xfId="34" applyNumberFormat="1" applyFont="1" applyAlignment="1">
      <alignment horizontal="right" vertical="top"/>
    </xf>
    <xf numFmtId="167" fontId="27" fillId="0" borderId="0" xfId="0" applyNumberFormat="1" applyFont="1" applyAlignment="1">
      <alignment horizontal="right" vertical="top"/>
    </xf>
    <xf numFmtId="167" fontId="25" fillId="3" borderId="0" xfId="0" applyNumberFormat="1" applyFont="1" applyFill="1" applyAlignment="1">
      <alignment horizontal="right" vertical="top"/>
    </xf>
    <xf numFmtId="167" fontId="26" fillId="3" borderId="0" xfId="0" quotePrefix="1" applyNumberFormat="1" applyFont="1" applyFill="1" applyAlignment="1">
      <alignment horizontal="right" vertical="top"/>
    </xf>
    <xf numFmtId="167" fontId="25" fillId="0" borderId="0" xfId="33" applyNumberFormat="1" applyFont="1" applyFill="1"/>
    <xf numFmtId="169" fontId="25" fillId="0" borderId="0" xfId="33" applyNumberFormat="1" applyFont="1" applyFill="1"/>
    <xf numFmtId="165" fontId="52" fillId="0" borderId="1" xfId="33" applyNumberFormat="1" applyFont="1" applyBorder="1"/>
    <xf numFmtId="170" fontId="31" fillId="0" borderId="0" xfId="0" applyNumberFormat="1" applyFont="1"/>
    <xf numFmtId="170" fontId="32" fillId="0" borderId="0" xfId="0" applyNumberFormat="1" applyFont="1"/>
    <xf numFmtId="165" fontId="52" fillId="0" borderId="4" xfId="33" applyNumberFormat="1" applyFont="1" applyBorder="1"/>
    <xf numFmtId="0" fontId="31" fillId="0" borderId="0" xfId="0" applyFont="1" applyAlignment="1">
      <alignment horizontal="center"/>
    </xf>
    <xf numFmtId="42" fontId="52" fillId="0" borderId="0" xfId="0" applyNumberFormat="1" applyFont="1"/>
    <xf numFmtId="167" fontId="32" fillId="0" borderId="0" xfId="33" applyNumberFormat="1" applyFont="1" applyBorder="1"/>
    <xf numFmtId="167" fontId="32" fillId="0" borderId="0" xfId="0" applyNumberFormat="1" applyFont="1"/>
    <xf numFmtId="167" fontId="32" fillId="0" borderId="0" xfId="0" applyNumberFormat="1" applyFont="1" applyAlignment="1">
      <alignment horizontal="center" vertical="center"/>
    </xf>
    <xf numFmtId="167" fontId="32" fillId="0" borderId="8" xfId="0" applyNumberFormat="1" applyFont="1" applyBorder="1" applyAlignment="1">
      <alignment horizontal="center" vertical="center"/>
    </xf>
    <xf numFmtId="165" fontId="31" fillId="0" borderId="0" xfId="33" applyNumberFormat="1" applyFont="1" applyFill="1"/>
    <xf numFmtId="167" fontId="29" fillId="0" borderId="0" xfId="0" applyNumberFormat="1" applyFont="1"/>
    <xf numFmtId="167" fontId="29" fillId="0" borderId="0" xfId="0" applyNumberFormat="1" applyFont="1" applyAlignment="1">
      <alignment horizontal="center"/>
    </xf>
    <xf numFmtId="10" fontId="29" fillId="0" borderId="0" xfId="34" applyNumberFormat="1" applyFont="1"/>
    <xf numFmtId="0" fontId="29" fillId="3" borderId="0" xfId="0" applyFont="1" applyFill="1"/>
    <xf numFmtId="167" fontId="29" fillId="3" borderId="0" xfId="0" applyNumberFormat="1" applyFont="1" applyFill="1"/>
    <xf numFmtId="10" fontId="29" fillId="3" borderId="0" xfId="34" applyNumberFormat="1" applyFont="1" applyFill="1"/>
    <xf numFmtId="0" fontId="29" fillId="5" borderId="0" xfId="0" applyFont="1" applyFill="1"/>
    <xf numFmtId="167" fontId="29" fillId="5" borderId="0" xfId="0" applyNumberFormat="1" applyFont="1" applyFill="1"/>
    <xf numFmtId="38" fontId="31" fillId="0" borderId="0" xfId="0" applyNumberFormat="1" applyFont="1"/>
    <xf numFmtId="0" fontId="3" fillId="0" borderId="0" xfId="0" quotePrefix="1" applyFont="1" applyAlignment="1">
      <alignment horizontal="left"/>
    </xf>
    <xf numFmtId="169" fontId="27" fillId="3" borderId="0" xfId="0" applyNumberFormat="1" applyFont="1" applyFill="1" applyAlignment="1">
      <alignment horizontal="center" vertical="center"/>
    </xf>
    <xf numFmtId="169" fontId="0" fillId="3" borderId="0" xfId="0" applyNumberFormat="1" applyFill="1" applyAlignment="1">
      <alignment horizontal="center" vertical="center"/>
    </xf>
    <xf numFmtId="167" fontId="27" fillId="3" borderId="0" xfId="0" applyNumberFormat="1" applyFont="1" applyFill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0" fillId="0" borderId="0" xfId="0"/>
    <xf numFmtId="0" fontId="53" fillId="0" borderId="0" xfId="0" applyFont="1"/>
    <xf numFmtId="0" fontId="53" fillId="0" borderId="0" xfId="0" applyFont="1" applyAlignment="1">
      <alignment horizontal="center"/>
    </xf>
    <xf numFmtId="167" fontId="54" fillId="0" borderId="0" xfId="0" applyNumberFormat="1" applyFont="1" applyAlignment="1">
      <alignment horizontal="center"/>
    </xf>
    <xf numFmtId="167" fontId="53" fillId="0" borderId="0" xfId="0" applyNumberFormat="1" applyFont="1" applyAlignment="1">
      <alignment horizontal="center"/>
    </xf>
    <xf numFmtId="167" fontId="53" fillId="0" borderId="0" xfId="0" applyNumberFormat="1" applyFont="1" applyAlignment="1">
      <alignment horizontal="right"/>
    </xf>
    <xf numFmtId="167" fontId="53" fillId="0" borderId="0" xfId="0" applyNumberFormat="1" applyFont="1"/>
    <xf numFmtId="0" fontId="55" fillId="0" borderId="0" xfId="0" applyFont="1"/>
    <xf numFmtId="0" fontId="55" fillId="0" borderId="12" xfId="0" applyFont="1" applyBorder="1"/>
    <xf numFmtId="167" fontId="44" fillId="0" borderId="12" xfId="0" applyNumberFormat="1" applyFont="1" applyBorder="1" applyAlignment="1">
      <alignment horizontal="right"/>
    </xf>
    <xf numFmtId="167" fontId="44" fillId="0" borderId="12" xfId="0" applyNumberFormat="1" applyFont="1" applyBorder="1" applyAlignment="1">
      <alignment horizontal="center"/>
    </xf>
    <xf numFmtId="167" fontId="27" fillId="0" borderId="12" xfId="0" applyNumberFormat="1" applyFont="1" applyBorder="1" applyAlignment="1">
      <alignment horizontal="right"/>
    </xf>
    <xf numFmtId="167" fontId="27" fillId="2" borderId="12" xfId="0" applyNumberFormat="1" applyFont="1" applyFill="1" applyBorder="1" applyAlignment="1">
      <alignment horizontal="right"/>
    </xf>
    <xf numFmtId="0" fontId="27" fillId="0" borderId="12" xfId="0" applyFont="1" applyBorder="1"/>
    <xf numFmtId="0" fontId="44" fillId="0" borderId="12" xfId="0" applyFont="1" applyBorder="1"/>
    <xf numFmtId="167" fontId="56" fillId="0" borderId="12" xfId="0" applyNumberFormat="1" applyFont="1" applyBorder="1" applyAlignment="1">
      <alignment horizontal="right"/>
    </xf>
    <xf numFmtId="167" fontId="56" fillId="2" borderId="12" xfId="0" applyNumberFormat="1" applyFont="1" applyFill="1" applyBorder="1" applyAlignment="1">
      <alignment horizontal="center"/>
    </xf>
    <xf numFmtId="0" fontId="57" fillId="0" borderId="12" xfId="0" applyFont="1" applyBorder="1"/>
    <xf numFmtId="0" fontId="1" fillId="0" borderId="12" xfId="0" applyFont="1" applyBorder="1"/>
    <xf numFmtId="0" fontId="0" fillId="0" borderId="12" xfId="0" applyBorder="1"/>
    <xf numFmtId="167" fontId="0" fillId="0" borderId="12" xfId="0" applyNumberFormat="1" applyBorder="1"/>
    <xf numFmtId="167" fontId="0" fillId="0" borderId="12" xfId="0" applyNumberFormat="1" applyBorder="1" applyAlignment="1">
      <alignment horizontal="right"/>
    </xf>
    <xf numFmtId="167" fontId="44" fillId="0" borderId="12" xfId="0" applyNumberFormat="1" applyFont="1" applyBorder="1"/>
    <xf numFmtId="167" fontId="0" fillId="2" borderId="12" xfId="0" applyNumberFormat="1" applyFill="1" applyBorder="1"/>
    <xf numFmtId="0" fontId="53" fillId="0" borderId="12" xfId="0" applyFont="1" applyBorder="1"/>
    <xf numFmtId="0" fontId="58" fillId="0" borderId="12" xfId="0" applyFont="1" applyBorder="1"/>
    <xf numFmtId="167" fontId="1" fillId="0" borderId="12" xfId="0" applyNumberFormat="1" applyFont="1" applyBorder="1"/>
    <xf numFmtId="167" fontId="1" fillId="0" borderId="12" xfId="0" applyNumberFormat="1" applyFont="1" applyBorder="1" applyAlignment="1">
      <alignment horizontal="right"/>
    </xf>
    <xf numFmtId="167" fontId="27" fillId="0" borderId="12" xfId="0" applyNumberFormat="1" applyFont="1" applyBorder="1"/>
    <xf numFmtId="167" fontId="1" fillId="2" borderId="12" xfId="0" applyNumberFormat="1" applyFont="1" applyFill="1" applyBorder="1"/>
    <xf numFmtId="0" fontId="59" fillId="6" borderId="12" xfId="0" applyFont="1" applyFill="1" applyBorder="1"/>
    <xf numFmtId="0" fontId="58" fillId="6" borderId="12" xfId="0" applyFont="1" applyFill="1" applyBorder="1"/>
    <xf numFmtId="167" fontId="1" fillId="6" borderId="12" xfId="0" applyNumberFormat="1" applyFont="1" applyFill="1" applyBorder="1"/>
    <xf numFmtId="167" fontId="1" fillId="6" borderId="12" xfId="0" applyNumberFormat="1" applyFont="1" applyFill="1" applyBorder="1" applyAlignment="1">
      <alignment horizontal="right"/>
    </xf>
    <xf numFmtId="167" fontId="27" fillId="6" borderId="12" xfId="0" applyNumberFormat="1" applyFont="1" applyFill="1" applyBorder="1"/>
    <xf numFmtId="0" fontId="60" fillId="0" borderId="12" xfId="0" applyFont="1" applyBorder="1"/>
    <xf numFmtId="167" fontId="1" fillId="0" borderId="12" xfId="0" applyNumberFormat="1" applyFont="1" applyBorder="1" applyAlignment="1">
      <alignment horizontal="center"/>
    </xf>
    <xf numFmtId="0" fontId="1" fillId="6" borderId="12" xfId="0" applyFont="1" applyFill="1" applyBorder="1"/>
    <xf numFmtId="0" fontId="57" fillId="6" borderId="12" xfId="0" applyFont="1" applyFill="1" applyBorder="1"/>
    <xf numFmtId="0" fontId="60" fillId="6" borderId="12" xfId="0" applyFont="1" applyFill="1" applyBorder="1"/>
    <xf numFmtId="0" fontId="59" fillId="0" borderId="12" xfId="0" applyFont="1" applyBorder="1"/>
    <xf numFmtId="0" fontId="61" fillId="0" borderId="12" xfId="0" applyFont="1" applyBorder="1"/>
    <xf numFmtId="167" fontId="1" fillId="3" borderId="12" xfId="0" applyNumberFormat="1" applyFont="1" applyFill="1" applyBorder="1"/>
    <xf numFmtId="167" fontId="1" fillId="6" borderId="12" xfId="0" applyNumberFormat="1" applyFont="1" applyFill="1" applyBorder="1" applyAlignment="1">
      <alignment horizontal="center"/>
    </xf>
    <xf numFmtId="0" fontId="59" fillId="0" borderId="13" xfId="0" applyFont="1" applyBorder="1"/>
    <xf numFmtId="0" fontId="58" fillId="0" borderId="13" xfId="0" applyFont="1" applyBorder="1"/>
    <xf numFmtId="167" fontId="1" fillId="0" borderId="13" xfId="0" applyNumberFormat="1" applyFont="1" applyBorder="1"/>
    <xf numFmtId="167" fontId="1" fillId="0" borderId="13" xfId="0" applyNumberFormat="1" applyFont="1" applyBorder="1" applyAlignment="1">
      <alignment horizontal="right"/>
    </xf>
    <xf numFmtId="167" fontId="27" fillId="0" borderId="13" xfId="0" applyNumberFormat="1" applyFont="1" applyBorder="1"/>
    <xf numFmtId="167" fontId="1" fillId="2" borderId="13" xfId="0" applyNumberFormat="1" applyFont="1" applyFill="1" applyBorder="1"/>
    <xf numFmtId="0" fontId="1" fillId="0" borderId="13" xfId="0" applyFont="1" applyBorder="1"/>
    <xf numFmtId="0" fontId="59" fillId="0" borderId="14" xfId="0" applyFont="1" applyBorder="1"/>
    <xf numFmtId="0" fontId="58" fillId="0" borderId="14" xfId="0" applyFont="1" applyBorder="1"/>
    <xf numFmtId="175" fontId="58" fillId="0" borderId="14" xfId="0" applyNumberFormat="1" applyFont="1" applyBorder="1"/>
    <xf numFmtId="167" fontId="1" fillId="0" borderId="14" xfId="0" applyNumberFormat="1" applyFont="1" applyBorder="1"/>
    <xf numFmtId="167" fontId="1" fillId="0" borderId="14" xfId="0" applyNumberFormat="1" applyFont="1" applyBorder="1" applyAlignment="1">
      <alignment horizontal="right"/>
    </xf>
    <xf numFmtId="0" fontId="59" fillId="0" borderId="15" xfId="0" applyFont="1" applyBorder="1"/>
    <xf numFmtId="0" fontId="58" fillId="0" borderId="15" xfId="0" applyFont="1" applyBorder="1"/>
    <xf numFmtId="167" fontId="1" fillId="0" borderId="15" xfId="0" applyNumberFormat="1" applyFont="1" applyBorder="1"/>
    <xf numFmtId="167" fontId="1" fillId="0" borderId="15" xfId="0" applyNumberFormat="1" applyFont="1" applyBorder="1" applyAlignment="1">
      <alignment horizontal="right"/>
    </xf>
    <xf numFmtId="167" fontId="27" fillId="0" borderId="15" xfId="0" applyNumberFormat="1" applyFont="1" applyBorder="1"/>
    <xf numFmtId="167" fontId="1" fillId="2" borderId="15" xfId="0" applyNumberFormat="1" applyFont="1" applyFill="1" applyBorder="1"/>
    <xf numFmtId="0" fontId="1" fillId="0" borderId="15" xfId="0" applyFont="1" applyBorder="1"/>
    <xf numFmtId="0" fontId="53" fillId="0" borderId="15" xfId="0" applyFont="1" applyBorder="1"/>
    <xf numFmtId="167" fontId="1" fillId="3" borderId="12" xfId="0" applyNumberFormat="1" applyFont="1" applyFill="1" applyBorder="1" applyAlignment="1">
      <alignment horizontal="right"/>
    </xf>
    <xf numFmtId="0" fontId="60" fillId="0" borderId="16" xfId="0" applyFont="1" applyBorder="1"/>
    <xf numFmtId="167" fontId="1" fillId="2" borderId="16" xfId="0" applyNumberFormat="1" applyFont="1" applyFill="1" applyBorder="1"/>
    <xf numFmtId="0" fontId="1" fillId="0" borderId="16" xfId="0" applyFont="1" applyBorder="1"/>
    <xf numFmtId="0" fontId="27" fillId="0" borderId="14" xfId="0" applyFont="1" applyBorder="1"/>
    <xf numFmtId="0" fontId="57" fillId="0" borderId="14" xfId="0" applyFont="1" applyBorder="1"/>
    <xf numFmtId="167" fontId="27" fillId="0" borderId="14" xfId="0" applyNumberFormat="1" applyFont="1" applyBorder="1"/>
    <xf numFmtId="167" fontId="27" fillId="0" borderId="14" xfId="0" applyNumberFormat="1" applyFont="1" applyBorder="1" applyAlignment="1">
      <alignment horizontal="right"/>
    </xf>
    <xf numFmtId="0" fontId="1" fillId="0" borderId="17" xfId="0" applyFont="1" applyBorder="1"/>
    <xf numFmtId="0" fontId="60" fillId="0" borderId="0" xfId="0" applyFont="1"/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7" fontId="27" fillId="0" borderId="0" xfId="0" applyNumberFormat="1" applyFont="1"/>
    <xf numFmtId="167" fontId="1" fillId="2" borderId="0" xfId="0" applyNumberFormat="1" applyFont="1" applyFill="1"/>
    <xf numFmtId="0" fontId="1" fillId="0" borderId="0" xfId="0" applyFont="1"/>
    <xf numFmtId="0" fontId="55" fillId="0" borderId="15" xfId="0" applyFont="1" applyBorder="1"/>
    <xf numFmtId="0" fontId="60" fillId="0" borderId="15" xfId="0" applyFont="1" applyBorder="1"/>
    <xf numFmtId="167" fontId="57" fillId="0" borderId="12" xfId="0" applyNumberFormat="1" applyFont="1" applyBorder="1"/>
    <xf numFmtId="0" fontId="44" fillId="0" borderId="12" xfId="0" applyFont="1" applyBorder="1" applyAlignment="1">
      <alignment horizontal="right"/>
    </xf>
    <xf numFmtId="0" fontId="27" fillId="0" borderId="16" xfId="0" applyFont="1" applyBorder="1"/>
    <xf numFmtId="0" fontId="44" fillId="0" borderId="16" xfId="0" applyFont="1" applyBorder="1" applyAlignment="1">
      <alignment horizontal="right"/>
    </xf>
    <xf numFmtId="167" fontId="27" fillId="0" borderId="16" xfId="0" applyNumberFormat="1" applyFont="1" applyBorder="1" applyAlignment="1">
      <alignment horizontal="right"/>
    </xf>
    <xf numFmtId="167" fontId="27" fillId="2" borderId="16" xfId="0" applyNumberFormat="1" applyFont="1" applyFill="1" applyBorder="1"/>
    <xf numFmtId="167" fontId="44" fillId="0" borderId="0" xfId="0" applyNumberFormat="1" applyFont="1"/>
    <xf numFmtId="167" fontId="27" fillId="0" borderId="16" xfId="0" applyNumberFormat="1" applyFont="1" applyBorder="1"/>
    <xf numFmtId="0" fontId="31" fillId="0" borderId="12" xfId="0" applyFont="1" applyBorder="1"/>
    <xf numFmtId="170" fontId="32" fillId="0" borderId="12" xfId="0" applyNumberFormat="1" applyFont="1" applyBorder="1"/>
    <xf numFmtId="3" fontId="25" fillId="3" borderId="0" xfId="0" applyNumberFormat="1" applyFont="1" applyFill="1"/>
    <xf numFmtId="3" fontId="27" fillId="0" borderId="0" xfId="33" applyNumberFormat="1" applyFont="1"/>
    <xf numFmtId="2" fontId="31" fillId="0" borderId="12" xfId="0" applyNumberFormat="1" applyFont="1" applyBorder="1"/>
    <xf numFmtId="3" fontId="31" fillId="0" borderId="12" xfId="0" applyNumberFormat="1" applyFont="1" applyBorder="1"/>
    <xf numFmtId="165" fontId="62" fillId="0" borderId="4" xfId="33" applyNumberFormat="1" applyFont="1" applyBorder="1"/>
    <xf numFmtId="0" fontId="31" fillId="0" borderId="0" xfId="0" applyFont="1" applyAlignment="1">
      <alignment horizontal="right"/>
    </xf>
    <xf numFmtId="0" fontId="32" fillId="0" borderId="0" xfId="0" applyFont="1" applyBorder="1" applyAlignment="1">
      <alignment horizontal="center" vertical="center"/>
    </xf>
    <xf numFmtId="0" fontId="63" fillId="0" borderId="0" xfId="0" applyFont="1"/>
    <xf numFmtId="0" fontId="64" fillId="0" borderId="0" xfId="0" applyFont="1" applyAlignment="1">
      <alignment horizontal="center"/>
    </xf>
  </cellXfs>
  <cellStyles count="35">
    <cellStyle name="Comma" xfId="33" builtinId="3"/>
    <cellStyle name="Normal" xfId="0" builtinId="0"/>
    <cellStyle name="Percent" xfId="34" builtinId="5"/>
    <cellStyle name="rf0" xfId="1" xr:uid="{20EBEC3A-507C-4BD8-A949-51E46A749D18}"/>
    <cellStyle name="rf1" xfId="2" xr:uid="{D9411100-8888-404A-B1C8-020BE86D7BD3}"/>
    <cellStyle name="rf10" xfId="11" xr:uid="{D41CEB34-2531-4B77-A446-B8E749A2E742}"/>
    <cellStyle name="rf11" xfId="12" xr:uid="{BA006A4E-AAEE-43AD-BF82-32B6A40D33B5}"/>
    <cellStyle name="rf12" xfId="13" xr:uid="{A4077D0E-4C69-4843-AC95-1781B54E8080}"/>
    <cellStyle name="rf13" xfId="14" xr:uid="{0D69C131-20C6-4A31-8294-8A5E54E01EAA}"/>
    <cellStyle name="rf14" xfId="15" xr:uid="{C90A2D11-9372-407B-AB98-1AFA65D4A9B6}"/>
    <cellStyle name="rf15" xfId="16" xr:uid="{B35C5356-73C8-4FF1-BCCE-407C9EBC23C5}"/>
    <cellStyle name="rf16" xfId="17" xr:uid="{13815605-07D9-47CB-BE27-9AC08037A1A5}"/>
    <cellStyle name="rf17" xfId="18" xr:uid="{2EA8477B-CFB8-4DED-B002-935F4AD4FF21}"/>
    <cellStyle name="rf18" xfId="19" xr:uid="{D7515EFF-40CE-44F2-AE50-E007A1AB099D}"/>
    <cellStyle name="rf19" xfId="20" xr:uid="{797DADED-BE7A-40E9-9D61-EAAC9BA2E6CE}"/>
    <cellStyle name="rf2" xfId="3" xr:uid="{A13516B3-7322-4079-9B5E-216B0B99A97D}"/>
    <cellStyle name="rf20" xfId="21" xr:uid="{5DC87963-47B8-4FFD-AE18-215BE6A45A28}"/>
    <cellStyle name="rf21" xfId="22" xr:uid="{E19A5682-9D71-4D89-AEFE-550336F1CC00}"/>
    <cellStyle name="rf22" xfId="23" xr:uid="{B8D6221D-355B-4292-89FD-60E2ED01817A}"/>
    <cellStyle name="rf23" xfId="24" xr:uid="{16A2B5EA-9887-4199-8AC1-08B36D1F5F4E}"/>
    <cellStyle name="rf24" xfId="25" xr:uid="{99AB65C9-7FE3-4576-8FA7-33A3B1639A4C}"/>
    <cellStyle name="rf25" xfId="26" xr:uid="{8970E636-0AAA-4FEA-95A5-BE5C4A14963E}"/>
    <cellStyle name="rf26" xfId="27" xr:uid="{E62F986F-C930-43DF-B36C-CDDAE138A316}"/>
    <cellStyle name="rf27" xfId="28" xr:uid="{F13046E0-AA12-4147-886F-4215C8FD4E41}"/>
    <cellStyle name="rf28" xfId="29" xr:uid="{92618BDC-59CF-48D2-8F37-D66C2EF9A19C}"/>
    <cellStyle name="rf29" xfId="30" xr:uid="{FA70078B-F611-4A52-B939-119B692F5C82}"/>
    <cellStyle name="rf3" xfId="4" xr:uid="{0F087E9B-616C-49AE-A612-8CA7B199E057}"/>
    <cellStyle name="rf30" xfId="31" xr:uid="{8C95CBC1-4983-49BA-A2DC-CDE410DEAEB6}"/>
    <cellStyle name="rf31" xfId="32" xr:uid="{2C5D464D-60DF-4D1F-A036-B383F87D90CC}"/>
    <cellStyle name="rf4" xfId="5" xr:uid="{200F7273-54C9-4726-A189-F7CF33E39A36}"/>
    <cellStyle name="rf5" xfId="6" xr:uid="{B77B38BE-A85B-4C14-9E9E-475D0A5EB828}"/>
    <cellStyle name="rf6" xfId="7" xr:uid="{BBC43AC9-4532-4A7B-A218-F8F36A451B9D}"/>
    <cellStyle name="rf7" xfId="8" xr:uid="{34F3761A-7C15-459A-AD67-FEB8AFA1449D}"/>
    <cellStyle name="rf8" xfId="9" xr:uid="{E7601650-46A1-4AB9-AD9D-33B9B81CD9DD}"/>
    <cellStyle name="rf9" xfId="10" xr:uid="{7C1AA384-38FB-4776-A44C-AF1A609BC9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83050</xdr:colOff>
      <xdr:row>0</xdr:row>
      <xdr:rowOff>28575</xdr:rowOff>
    </xdr:from>
    <xdr:ext cx="2043701" cy="77152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461EFE0-A95F-06A6-AB67-F335124C9335}"/>
            </a:ext>
          </a:extLst>
        </xdr:cNvPr>
        <xdr:cNvSpPr/>
      </xdr:nvSpPr>
      <xdr:spPr>
        <a:xfrm>
          <a:off x="5302750" y="28575"/>
          <a:ext cx="2043701" cy="7715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TOWN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209550</xdr:rowOff>
    </xdr:from>
    <xdr:ext cx="2057400" cy="71437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BE82C4-DD86-46C8-A668-1FA8AE4E79BD}"/>
            </a:ext>
          </a:extLst>
        </xdr:cNvPr>
        <xdr:cNvSpPr/>
      </xdr:nvSpPr>
      <xdr:spPr>
        <a:xfrm>
          <a:off x="4857750" y="209550"/>
          <a:ext cx="2057400" cy="7143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Town/Arena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400050</xdr:colOff>
      <xdr:row>0</xdr:row>
      <xdr:rowOff>57150</xdr:rowOff>
    </xdr:from>
    <xdr:ext cx="1552575" cy="66131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68AA9FB-0148-4F2F-B992-19B9C643F3D5}"/>
            </a:ext>
          </a:extLst>
        </xdr:cNvPr>
        <xdr:cNvSpPr/>
      </xdr:nvSpPr>
      <xdr:spPr>
        <a:xfrm>
          <a:off x="5419725" y="57150"/>
          <a:ext cx="1552575" cy="66131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SEWER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268118</xdr:colOff>
      <xdr:row>0</xdr:row>
      <xdr:rowOff>0</xdr:rowOff>
    </xdr:from>
    <xdr:ext cx="1716752" cy="71846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82E2C57-57B5-4C14-87FB-382895C13F1B}"/>
            </a:ext>
          </a:extLst>
        </xdr:cNvPr>
        <xdr:cNvSpPr/>
      </xdr:nvSpPr>
      <xdr:spPr>
        <a:xfrm>
          <a:off x="5049668" y="0"/>
          <a:ext cx="1716752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WATER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85724</xdr:rowOff>
    </xdr:from>
    <xdr:ext cx="2038350" cy="63274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BF1BB50-8F96-4C3F-BB13-622EDE1BC651}"/>
            </a:ext>
          </a:extLst>
        </xdr:cNvPr>
        <xdr:cNvSpPr/>
      </xdr:nvSpPr>
      <xdr:spPr>
        <a:xfrm>
          <a:off x="5695950" y="85724"/>
          <a:ext cx="2038350" cy="63274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ARENA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003B-4BA1-4CAD-98D1-9819CC7114CD}">
  <dimension ref="A1:D404"/>
  <sheetViews>
    <sheetView showGridLines="0" workbookViewId="0">
      <pane ySplit="5" topLeftCell="A298" activePane="bottomLeft" state="frozenSplit"/>
      <selection pane="bottomLeft" activeCell="D308" sqref="D308"/>
    </sheetView>
  </sheetViews>
  <sheetFormatPr defaultRowHeight="18.75" x14ac:dyDescent="0.3"/>
  <cols>
    <col min="1" max="1" width="15" style="22" bestFit="1" customWidth="1"/>
    <col min="2" max="2" width="36.140625" style="22" customWidth="1"/>
    <col min="3" max="4" width="18.5703125" style="22" bestFit="1" customWidth="1"/>
    <col min="5" max="16384" width="9.140625" style="22"/>
  </cols>
  <sheetData>
    <row r="1" spans="1:4" x14ac:dyDescent="0.3">
      <c r="A1" s="11" t="s">
        <v>517</v>
      </c>
      <c r="B1" s="11"/>
      <c r="C1" s="11"/>
      <c r="D1" s="11"/>
    </row>
    <row r="2" spans="1:4" x14ac:dyDescent="0.3">
      <c r="A2" s="11" t="s">
        <v>2085</v>
      </c>
      <c r="B2" s="11"/>
      <c r="C2" s="11"/>
      <c r="D2" s="11"/>
    </row>
    <row r="3" spans="1:4" x14ac:dyDescent="0.3">
      <c r="A3" s="11" t="s">
        <v>521</v>
      </c>
      <c r="B3" s="11"/>
      <c r="C3" s="11"/>
      <c r="D3" s="11"/>
    </row>
    <row r="4" spans="1:4" x14ac:dyDescent="0.3">
      <c r="A4" s="65"/>
      <c r="B4" s="65"/>
      <c r="C4" s="66" t="s">
        <v>521</v>
      </c>
      <c r="D4"/>
    </row>
    <row r="5" spans="1:4" x14ac:dyDescent="0.3">
      <c r="A5" s="67" t="s">
        <v>522</v>
      </c>
      <c r="B5" s="68" t="s">
        <v>523</v>
      </c>
      <c r="C5" s="67" t="s">
        <v>524</v>
      </c>
      <c r="D5" s="67" t="s">
        <v>525</v>
      </c>
    </row>
    <row r="6" spans="1:4" x14ac:dyDescent="0.3">
      <c r="A6" s="69" t="s">
        <v>526</v>
      </c>
      <c r="B6" s="70" t="s">
        <v>527</v>
      </c>
      <c r="C6" s="71">
        <v>211751.98</v>
      </c>
      <c r="D6" s="71">
        <v>0</v>
      </c>
    </row>
    <row r="7" spans="1:4" x14ac:dyDescent="0.3">
      <c r="A7" s="69" t="s">
        <v>994</v>
      </c>
      <c r="B7" s="70" t="s">
        <v>995</v>
      </c>
      <c r="C7" s="71">
        <v>0</v>
      </c>
      <c r="D7" s="71">
        <v>0</v>
      </c>
    </row>
    <row r="8" spans="1:4" x14ac:dyDescent="0.3">
      <c r="A8" s="69" t="s">
        <v>638</v>
      </c>
      <c r="B8" s="70" t="s">
        <v>639</v>
      </c>
      <c r="C8" s="71">
        <v>200</v>
      </c>
      <c r="D8" s="71">
        <v>0</v>
      </c>
    </row>
    <row r="9" spans="1:4" x14ac:dyDescent="0.3">
      <c r="A9" s="69" t="s">
        <v>528</v>
      </c>
      <c r="B9" s="70" t="s">
        <v>529</v>
      </c>
      <c r="C9" s="71">
        <v>5.34</v>
      </c>
      <c r="D9" s="71">
        <v>0</v>
      </c>
    </row>
    <row r="10" spans="1:4" x14ac:dyDescent="0.3">
      <c r="A10" s="69" t="s">
        <v>530</v>
      </c>
      <c r="B10" s="70" t="s">
        <v>640</v>
      </c>
      <c r="C10" s="71">
        <v>436879.25</v>
      </c>
      <c r="D10" s="71">
        <v>0</v>
      </c>
    </row>
    <row r="11" spans="1:4" x14ac:dyDescent="0.3">
      <c r="A11" s="69" t="s">
        <v>1145</v>
      </c>
      <c r="B11" s="70" t="s">
        <v>1146</v>
      </c>
      <c r="C11" s="71">
        <v>0</v>
      </c>
      <c r="D11" s="71">
        <v>0</v>
      </c>
    </row>
    <row r="12" spans="1:4" x14ac:dyDescent="0.3">
      <c r="A12" s="69" t="s">
        <v>641</v>
      </c>
      <c r="B12" s="70" t="s">
        <v>642</v>
      </c>
      <c r="C12" s="71">
        <v>536.02</v>
      </c>
      <c r="D12" s="71">
        <v>0</v>
      </c>
    </row>
    <row r="13" spans="1:4" x14ac:dyDescent="0.3">
      <c r="A13" s="69" t="s">
        <v>532</v>
      </c>
      <c r="B13" s="70" t="s">
        <v>643</v>
      </c>
      <c r="C13" s="71">
        <v>1163.49</v>
      </c>
      <c r="D13" s="71">
        <v>0</v>
      </c>
    </row>
    <row r="14" spans="1:4" x14ac:dyDescent="0.3">
      <c r="A14" s="69" t="s">
        <v>644</v>
      </c>
      <c r="B14" s="70" t="s">
        <v>645</v>
      </c>
      <c r="C14" s="71">
        <v>28358.18</v>
      </c>
      <c r="D14" s="71">
        <v>0</v>
      </c>
    </row>
    <row r="15" spans="1:4" x14ac:dyDescent="0.3">
      <c r="A15" s="69" t="s">
        <v>1147</v>
      </c>
      <c r="B15" s="70" t="s">
        <v>1148</v>
      </c>
      <c r="C15" s="71">
        <v>0</v>
      </c>
      <c r="D15" s="71">
        <v>0</v>
      </c>
    </row>
    <row r="16" spans="1:4" x14ac:dyDescent="0.3">
      <c r="A16" s="69" t="s">
        <v>534</v>
      </c>
      <c r="B16" s="70" t="s">
        <v>1149</v>
      </c>
      <c r="C16" s="71">
        <v>0</v>
      </c>
      <c r="D16" s="71">
        <v>0</v>
      </c>
    </row>
    <row r="17" spans="1:4" x14ac:dyDescent="0.3">
      <c r="A17" s="69" t="s">
        <v>536</v>
      </c>
      <c r="B17" s="70" t="s">
        <v>537</v>
      </c>
      <c r="C17" s="71">
        <v>2102.54</v>
      </c>
      <c r="D17" s="71">
        <v>0</v>
      </c>
    </row>
    <row r="18" spans="1:4" x14ac:dyDescent="0.3">
      <c r="A18" s="69" t="s">
        <v>1003</v>
      </c>
      <c r="B18" s="70" t="s">
        <v>1150</v>
      </c>
      <c r="C18" s="71">
        <v>0</v>
      </c>
      <c r="D18" s="71">
        <v>0</v>
      </c>
    </row>
    <row r="19" spans="1:4" x14ac:dyDescent="0.3">
      <c r="A19" s="69" t="s">
        <v>538</v>
      </c>
      <c r="B19" s="70" t="s">
        <v>646</v>
      </c>
      <c r="C19" s="71">
        <v>376312.21</v>
      </c>
      <c r="D19" s="71">
        <v>0</v>
      </c>
    </row>
    <row r="20" spans="1:4" x14ac:dyDescent="0.3">
      <c r="A20" s="69" t="s">
        <v>1151</v>
      </c>
      <c r="B20" s="70" t="s">
        <v>1152</v>
      </c>
      <c r="C20" s="71">
        <v>0</v>
      </c>
      <c r="D20" s="71">
        <v>0</v>
      </c>
    </row>
    <row r="21" spans="1:4" x14ac:dyDescent="0.3">
      <c r="A21" s="69" t="s">
        <v>540</v>
      </c>
      <c r="B21" s="70" t="s">
        <v>647</v>
      </c>
      <c r="C21" s="71">
        <v>487170.37</v>
      </c>
      <c r="D21" s="71">
        <v>0</v>
      </c>
    </row>
    <row r="22" spans="1:4" x14ac:dyDescent="0.3">
      <c r="A22" s="69" t="s">
        <v>648</v>
      </c>
      <c r="B22" s="70" t="s">
        <v>649</v>
      </c>
      <c r="C22" s="71">
        <v>22676.98</v>
      </c>
      <c r="D22" s="71">
        <v>0</v>
      </c>
    </row>
    <row r="23" spans="1:4" x14ac:dyDescent="0.3">
      <c r="A23" s="69" t="s">
        <v>546</v>
      </c>
      <c r="B23" s="70" t="s">
        <v>1153</v>
      </c>
      <c r="C23" s="71">
        <v>0</v>
      </c>
      <c r="D23" s="71">
        <v>0</v>
      </c>
    </row>
    <row r="24" spans="1:4" x14ac:dyDescent="0.3">
      <c r="A24" s="69" t="s">
        <v>650</v>
      </c>
      <c r="B24" s="70" t="s">
        <v>651</v>
      </c>
      <c r="C24" s="71">
        <v>348094.12</v>
      </c>
      <c r="D24" s="71">
        <v>0</v>
      </c>
    </row>
    <row r="25" spans="1:4" x14ac:dyDescent="0.3">
      <c r="A25" s="69" t="s">
        <v>652</v>
      </c>
      <c r="B25" s="70" t="s">
        <v>653</v>
      </c>
      <c r="C25" s="71">
        <v>78709.34</v>
      </c>
      <c r="D25" s="71">
        <v>0</v>
      </c>
    </row>
    <row r="26" spans="1:4" x14ac:dyDescent="0.3">
      <c r="A26" s="69" t="s">
        <v>654</v>
      </c>
      <c r="B26" s="70" t="s">
        <v>655</v>
      </c>
      <c r="C26" s="71">
        <v>495713.38</v>
      </c>
      <c r="D26" s="71">
        <v>0</v>
      </c>
    </row>
    <row r="27" spans="1:4" x14ac:dyDescent="0.3">
      <c r="A27" s="69" t="s">
        <v>656</v>
      </c>
      <c r="B27" s="70" t="s">
        <v>657</v>
      </c>
      <c r="C27" s="71">
        <v>0</v>
      </c>
      <c r="D27" s="71">
        <v>743437.99</v>
      </c>
    </row>
    <row r="28" spans="1:4" x14ac:dyDescent="0.3">
      <c r="A28" s="69" t="s">
        <v>658</v>
      </c>
      <c r="B28" s="70" t="s">
        <v>659</v>
      </c>
      <c r="C28" s="71">
        <v>125226.92</v>
      </c>
      <c r="D28" s="71">
        <v>0</v>
      </c>
    </row>
    <row r="29" spans="1:4" x14ac:dyDescent="0.3">
      <c r="A29" s="69" t="s">
        <v>660</v>
      </c>
      <c r="B29" s="70" t="s">
        <v>661</v>
      </c>
      <c r="C29" s="71">
        <v>283046.59000000003</v>
      </c>
      <c r="D29" s="71">
        <v>0</v>
      </c>
    </row>
    <row r="30" spans="1:4" x14ac:dyDescent="0.3">
      <c r="A30" s="69" t="s">
        <v>1154</v>
      </c>
      <c r="B30" s="70" t="s">
        <v>1155</v>
      </c>
      <c r="C30" s="71">
        <v>0</v>
      </c>
      <c r="D30" s="71">
        <v>0</v>
      </c>
    </row>
    <row r="31" spans="1:4" x14ac:dyDescent="0.3">
      <c r="A31" s="69" t="s">
        <v>1156</v>
      </c>
      <c r="B31" s="70" t="s">
        <v>1157</v>
      </c>
      <c r="C31" s="71">
        <v>0</v>
      </c>
      <c r="D31" s="71">
        <v>0</v>
      </c>
    </row>
    <row r="32" spans="1:4" x14ac:dyDescent="0.3">
      <c r="A32" s="69" t="s">
        <v>1158</v>
      </c>
      <c r="B32" s="70" t="s">
        <v>1159</v>
      </c>
      <c r="C32" s="71">
        <v>0</v>
      </c>
      <c r="D32" s="71">
        <v>0</v>
      </c>
    </row>
    <row r="33" spans="1:4" x14ac:dyDescent="0.3">
      <c r="A33" s="69" t="s">
        <v>1160</v>
      </c>
      <c r="B33" s="70" t="s">
        <v>1161</v>
      </c>
      <c r="C33" s="71">
        <v>0</v>
      </c>
      <c r="D33" s="71">
        <v>0</v>
      </c>
    </row>
    <row r="34" spans="1:4" x14ac:dyDescent="0.3">
      <c r="A34" s="69" t="s">
        <v>1162</v>
      </c>
      <c r="B34" s="70" t="s">
        <v>1163</v>
      </c>
      <c r="C34" s="71">
        <v>0</v>
      </c>
      <c r="D34" s="71">
        <v>0</v>
      </c>
    </row>
    <row r="35" spans="1:4" x14ac:dyDescent="0.3">
      <c r="A35" s="69" t="s">
        <v>1164</v>
      </c>
      <c r="B35" s="70" t="s">
        <v>1165</v>
      </c>
      <c r="C35" s="71">
        <v>0</v>
      </c>
      <c r="D35" s="71">
        <v>0</v>
      </c>
    </row>
    <row r="36" spans="1:4" x14ac:dyDescent="0.3">
      <c r="A36" s="69" t="s">
        <v>1166</v>
      </c>
      <c r="B36" s="70" t="s">
        <v>1167</v>
      </c>
      <c r="C36" s="71">
        <v>0</v>
      </c>
      <c r="D36" s="71">
        <v>0</v>
      </c>
    </row>
    <row r="37" spans="1:4" x14ac:dyDescent="0.3">
      <c r="A37" s="69" t="s">
        <v>1168</v>
      </c>
      <c r="B37" s="70" t="s">
        <v>1169</v>
      </c>
      <c r="C37" s="71">
        <v>0</v>
      </c>
      <c r="D37" s="71">
        <v>0</v>
      </c>
    </row>
    <row r="38" spans="1:4" x14ac:dyDescent="0.3">
      <c r="A38" s="69" t="s">
        <v>1170</v>
      </c>
      <c r="B38" s="70" t="s">
        <v>1171</v>
      </c>
      <c r="C38" s="71">
        <v>0</v>
      </c>
      <c r="D38" s="71">
        <v>0</v>
      </c>
    </row>
    <row r="39" spans="1:4" x14ac:dyDescent="0.3">
      <c r="A39" s="69" t="s">
        <v>1172</v>
      </c>
      <c r="B39" s="70" t="s">
        <v>1173</v>
      </c>
      <c r="C39" s="71">
        <v>0</v>
      </c>
      <c r="D39" s="71">
        <v>0</v>
      </c>
    </row>
    <row r="40" spans="1:4" x14ac:dyDescent="0.3">
      <c r="A40" s="69" t="s">
        <v>1174</v>
      </c>
      <c r="B40" s="70" t="s">
        <v>1175</v>
      </c>
      <c r="C40" s="71">
        <v>0</v>
      </c>
      <c r="D40" s="71">
        <v>0</v>
      </c>
    </row>
    <row r="41" spans="1:4" x14ac:dyDescent="0.3">
      <c r="A41" s="69" t="s">
        <v>662</v>
      </c>
      <c r="B41" s="70" t="s">
        <v>663</v>
      </c>
      <c r="C41" s="71">
        <v>297936.24</v>
      </c>
      <c r="D41" s="71">
        <v>0</v>
      </c>
    </row>
    <row r="42" spans="1:4" x14ac:dyDescent="0.3">
      <c r="A42" s="69" t="s">
        <v>664</v>
      </c>
      <c r="B42" s="70" t="s">
        <v>665</v>
      </c>
      <c r="C42" s="71">
        <v>0</v>
      </c>
      <c r="D42" s="71">
        <v>197879.57</v>
      </c>
    </row>
    <row r="43" spans="1:4" x14ac:dyDescent="0.3">
      <c r="A43" s="69" t="s">
        <v>666</v>
      </c>
      <c r="B43" s="70" t="s">
        <v>667</v>
      </c>
      <c r="C43" s="71">
        <v>546688.05000000005</v>
      </c>
      <c r="D43" s="71">
        <v>0</v>
      </c>
    </row>
    <row r="44" spans="1:4" x14ac:dyDescent="0.3">
      <c r="A44" s="69" t="s">
        <v>668</v>
      </c>
      <c r="B44" s="70" t="s">
        <v>669</v>
      </c>
      <c r="C44" s="71">
        <v>0</v>
      </c>
      <c r="D44" s="71">
        <v>452251.23</v>
      </c>
    </row>
    <row r="45" spans="1:4" x14ac:dyDescent="0.3">
      <c r="A45" s="69" t="s">
        <v>1176</v>
      </c>
      <c r="B45" s="70" t="s">
        <v>1177</v>
      </c>
      <c r="C45" s="71">
        <v>0</v>
      </c>
      <c r="D45" s="71">
        <v>0</v>
      </c>
    </row>
    <row r="46" spans="1:4" x14ac:dyDescent="0.3">
      <c r="A46" s="69" t="s">
        <v>670</v>
      </c>
      <c r="B46" s="70" t="s">
        <v>671</v>
      </c>
      <c r="C46" s="71">
        <v>19158.32</v>
      </c>
      <c r="D46" s="71">
        <v>0</v>
      </c>
    </row>
    <row r="47" spans="1:4" x14ac:dyDescent="0.3">
      <c r="A47" s="69" t="s">
        <v>672</v>
      </c>
      <c r="B47" s="70" t="s">
        <v>673</v>
      </c>
      <c r="C47" s="71">
        <v>0</v>
      </c>
      <c r="D47" s="71">
        <v>16134.84</v>
      </c>
    </row>
    <row r="48" spans="1:4" x14ac:dyDescent="0.3">
      <c r="A48" s="69" t="s">
        <v>674</v>
      </c>
      <c r="B48" s="70" t="s">
        <v>675</v>
      </c>
      <c r="C48" s="71">
        <v>8320.4</v>
      </c>
      <c r="D48" s="71">
        <v>0</v>
      </c>
    </row>
    <row r="49" spans="1:4" x14ac:dyDescent="0.3">
      <c r="A49" s="69" t="s">
        <v>1178</v>
      </c>
      <c r="B49" s="70" t="s">
        <v>1179</v>
      </c>
      <c r="C49" s="71">
        <v>0</v>
      </c>
      <c r="D49" s="71">
        <v>0</v>
      </c>
    </row>
    <row r="50" spans="1:4" x14ac:dyDescent="0.3">
      <c r="A50" s="69" t="s">
        <v>676</v>
      </c>
      <c r="B50" s="70" t="s">
        <v>677</v>
      </c>
      <c r="C50" s="71">
        <v>18270.939999999999</v>
      </c>
      <c r="D50" s="71">
        <v>0</v>
      </c>
    </row>
    <row r="51" spans="1:4" x14ac:dyDescent="0.3">
      <c r="A51" s="69" t="s">
        <v>678</v>
      </c>
      <c r="B51" s="70" t="s">
        <v>679</v>
      </c>
      <c r="C51" s="71">
        <v>0</v>
      </c>
      <c r="D51" s="71">
        <v>18270.939999999999</v>
      </c>
    </row>
    <row r="52" spans="1:4" x14ac:dyDescent="0.3">
      <c r="A52" s="69" t="s">
        <v>1180</v>
      </c>
      <c r="B52" s="70" t="s">
        <v>1181</v>
      </c>
      <c r="C52" s="71">
        <v>0</v>
      </c>
      <c r="D52" s="71">
        <v>0</v>
      </c>
    </row>
    <row r="53" spans="1:4" x14ac:dyDescent="0.3">
      <c r="A53" s="69" t="s">
        <v>1182</v>
      </c>
      <c r="B53" s="70" t="s">
        <v>1183</v>
      </c>
      <c r="C53" s="71">
        <v>0</v>
      </c>
      <c r="D53" s="71">
        <v>0</v>
      </c>
    </row>
    <row r="54" spans="1:4" x14ac:dyDescent="0.3">
      <c r="A54" s="69" t="s">
        <v>1184</v>
      </c>
      <c r="B54" s="70" t="s">
        <v>1185</v>
      </c>
      <c r="C54" s="71">
        <v>0</v>
      </c>
      <c r="D54" s="71">
        <v>0</v>
      </c>
    </row>
    <row r="55" spans="1:4" x14ac:dyDescent="0.3">
      <c r="A55" s="69" t="s">
        <v>680</v>
      </c>
      <c r="B55" s="70" t="s">
        <v>681</v>
      </c>
      <c r="C55" s="71">
        <v>0</v>
      </c>
      <c r="D55" s="71">
        <v>7301.57</v>
      </c>
    </row>
    <row r="56" spans="1:4" x14ac:dyDescent="0.3">
      <c r="A56" s="69" t="s">
        <v>682</v>
      </c>
      <c r="B56" s="70" t="s">
        <v>683</v>
      </c>
      <c r="C56" s="71">
        <v>538520.85</v>
      </c>
      <c r="D56" s="71">
        <v>0</v>
      </c>
    </row>
    <row r="57" spans="1:4" x14ac:dyDescent="0.3">
      <c r="A57" s="69" t="s">
        <v>684</v>
      </c>
      <c r="B57" s="70" t="s">
        <v>685</v>
      </c>
      <c r="C57" s="71">
        <v>0</v>
      </c>
      <c r="D57" s="71">
        <v>252352.77</v>
      </c>
    </row>
    <row r="58" spans="1:4" x14ac:dyDescent="0.3">
      <c r="A58" s="69" t="s">
        <v>686</v>
      </c>
      <c r="B58" s="70" t="s">
        <v>687</v>
      </c>
      <c r="C58" s="71">
        <v>250155.3</v>
      </c>
      <c r="D58" s="71">
        <v>0</v>
      </c>
    </row>
    <row r="59" spans="1:4" x14ac:dyDescent="0.3">
      <c r="A59" s="69" t="s">
        <v>688</v>
      </c>
      <c r="B59" s="70" t="s">
        <v>689</v>
      </c>
      <c r="C59" s="71">
        <v>0</v>
      </c>
      <c r="D59" s="71">
        <v>131029.35</v>
      </c>
    </row>
    <row r="60" spans="1:4" x14ac:dyDescent="0.3">
      <c r="A60" s="69" t="s">
        <v>690</v>
      </c>
      <c r="B60" s="70" t="s">
        <v>691</v>
      </c>
      <c r="C60" s="71">
        <v>107092.21</v>
      </c>
      <c r="D60" s="71">
        <v>0</v>
      </c>
    </row>
    <row r="61" spans="1:4" x14ac:dyDescent="0.3">
      <c r="A61" s="69" t="s">
        <v>692</v>
      </c>
      <c r="B61" s="70" t="s">
        <v>693</v>
      </c>
      <c r="C61" s="71">
        <v>61865.87</v>
      </c>
      <c r="D61" s="71">
        <v>0</v>
      </c>
    </row>
    <row r="62" spans="1:4" x14ac:dyDescent="0.3">
      <c r="A62" s="69" t="s">
        <v>694</v>
      </c>
      <c r="B62" s="70" t="s">
        <v>695</v>
      </c>
      <c r="C62" s="71">
        <v>0</v>
      </c>
      <c r="D62" s="71">
        <v>38851.120000000003</v>
      </c>
    </row>
    <row r="63" spans="1:4" x14ac:dyDescent="0.3">
      <c r="A63" s="69" t="s">
        <v>696</v>
      </c>
      <c r="B63" s="70" t="s">
        <v>697</v>
      </c>
      <c r="C63" s="71">
        <v>49341.14</v>
      </c>
      <c r="D63" s="71">
        <v>0</v>
      </c>
    </row>
    <row r="64" spans="1:4" x14ac:dyDescent="0.3">
      <c r="A64" s="69" t="s">
        <v>698</v>
      </c>
      <c r="B64" s="70" t="s">
        <v>699</v>
      </c>
      <c r="C64" s="71">
        <v>150273.92000000001</v>
      </c>
      <c r="D64" s="71">
        <v>0</v>
      </c>
    </row>
    <row r="65" spans="1:4" x14ac:dyDescent="0.3">
      <c r="A65" s="69" t="s">
        <v>700</v>
      </c>
      <c r="B65" s="70" t="s">
        <v>701</v>
      </c>
      <c r="C65" s="71">
        <v>0</v>
      </c>
      <c r="D65" s="71">
        <v>22541.1</v>
      </c>
    </row>
    <row r="66" spans="1:4" x14ac:dyDescent="0.3">
      <c r="A66" s="69" t="s">
        <v>1186</v>
      </c>
      <c r="B66" s="70" t="s">
        <v>1187</v>
      </c>
      <c r="C66" s="71">
        <v>0</v>
      </c>
      <c r="D66" s="71">
        <v>0</v>
      </c>
    </row>
    <row r="67" spans="1:4" x14ac:dyDescent="0.3">
      <c r="A67" s="69" t="s">
        <v>1188</v>
      </c>
      <c r="B67" s="70" t="s">
        <v>1189</v>
      </c>
      <c r="C67" s="71">
        <v>0</v>
      </c>
      <c r="D67" s="71">
        <v>0</v>
      </c>
    </row>
    <row r="68" spans="1:4" x14ac:dyDescent="0.3">
      <c r="A68" s="69" t="s">
        <v>548</v>
      </c>
      <c r="B68" s="70" t="s">
        <v>549</v>
      </c>
      <c r="C68" s="71">
        <v>0</v>
      </c>
      <c r="D68" s="71">
        <v>11339.63</v>
      </c>
    </row>
    <row r="69" spans="1:4" x14ac:dyDescent="0.3">
      <c r="A69" s="69" t="s">
        <v>1190</v>
      </c>
      <c r="B69" s="70" t="s">
        <v>1191</v>
      </c>
      <c r="C69" s="71">
        <v>0</v>
      </c>
      <c r="D69" s="71">
        <v>0</v>
      </c>
    </row>
    <row r="70" spans="1:4" x14ac:dyDescent="0.3">
      <c r="A70" s="69" t="s">
        <v>702</v>
      </c>
      <c r="B70" s="70" t="s">
        <v>703</v>
      </c>
      <c r="C70" s="71">
        <v>0</v>
      </c>
      <c r="D70" s="71">
        <v>451.88</v>
      </c>
    </row>
    <row r="71" spans="1:4" x14ac:dyDescent="0.3">
      <c r="A71" s="69" t="s">
        <v>550</v>
      </c>
      <c r="B71" s="70" t="s">
        <v>704</v>
      </c>
      <c r="C71" s="71">
        <v>0</v>
      </c>
      <c r="D71" s="71">
        <v>0</v>
      </c>
    </row>
    <row r="72" spans="1:4" x14ac:dyDescent="0.3">
      <c r="A72" s="69" t="s">
        <v>705</v>
      </c>
      <c r="B72" s="70" t="s">
        <v>2039</v>
      </c>
      <c r="C72" s="71">
        <v>0</v>
      </c>
      <c r="D72" s="71">
        <v>2963.34</v>
      </c>
    </row>
    <row r="73" spans="1:4" x14ac:dyDescent="0.3">
      <c r="A73" s="69" t="s">
        <v>706</v>
      </c>
      <c r="B73" s="70" t="s">
        <v>707</v>
      </c>
      <c r="C73" s="71">
        <v>0</v>
      </c>
      <c r="D73" s="71">
        <v>21894.28</v>
      </c>
    </row>
    <row r="74" spans="1:4" x14ac:dyDescent="0.3">
      <c r="A74" s="69" t="s">
        <v>1192</v>
      </c>
      <c r="B74" s="70" t="s">
        <v>1193</v>
      </c>
      <c r="C74" s="71">
        <v>0</v>
      </c>
      <c r="D74" s="71">
        <v>0</v>
      </c>
    </row>
    <row r="75" spans="1:4" x14ac:dyDescent="0.3">
      <c r="A75" s="69" t="s">
        <v>552</v>
      </c>
      <c r="B75" s="70" t="s">
        <v>708</v>
      </c>
      <c r="C75" s="71">
        <v>0</v>
      </c>
      <c r="D75" s="71">
        <v>110.16</v>
      </c>
    </row>
    <row r="76" spans="1:4" x14ac:dyDescent="0.3">
      <c r="A76" s="69" t="s">
        <v>1194</v>
      </c>
      <c r="B76" s="70" t="s">
        <v>1020</v>
      </c>
      <c r="C76" s="71">
        <v>0</v>
      </c>
      <c r="D76" s="71">
        <v>0</v>
      </c>
    </row>
    <row r="77" spans="1:4" x14ac:dyDescent="0.3">
      <c r="A77" s="69" t="s">
        <v>1010</v>
      </c>
      <c r="B77" s="70" t="s">
        <v>1011</v>
      </c>
      <c r="C77" s="71">
        <v>0</v>
      </c>
      <c r="D77" s="71">
        <v>0</v>
      </c>
    </row>
    <row r="78" spans="1:4" x14ac:dyDescent="0.3">
      <c r="A78" s="69" t="s">
        <v>1012</v>
      </c>
      <c r="B78" s="70" t="s">
        <v>1013</v>
      </c>
      <c r="C78" s="71">
        <v>0.01</v>
      </c>
      <c r="D78" s="71">
        <v>0</v>
      </c>
    </row>
    <row r="79" spans="1:4" x14ac:dyDescent="0.3">
      <c r="A79" s="69" t="s">
        <v>1014</v>
      </c>
      <c r="B79" s="70" t="s">
        <v>1015</v>
      </c>
      <c r="C79" s="71">
        <v>0</v>
      </c>
      <c r="D79" s="71">
        <v>0</v>
      </c>
    </row>
    <row r="80" spans="1:4" x14ac:dyDescent="0.3">
      <c r="A80" s="69" t="s">
        <v>1195</v>
      </c>
      <c r="B80" s="70" t="s">
        <v>1017</v>
      </c>
      <c r="C80" s="71">
        <v>0</v>
      </c>
      <c r="D80" s="71">
        <v>0</v>
      </c>
    </row>
    <row r="81" spans="1:4" x14ac:dyDescent="0.3">
      <c r="A81" s="69" t="s">
        <v>1016</v>
      </c>
      <c r="B81" s="70" t="s">
        <v>1196</v>
      </c>
      <c r="C81" s="71">
        <v>0</v>
      </c>
      <c r="D81" s="71">
        <v>0</v>
      </c>
    </row>
    <row r="82" spans="1:4" x14ac:dyDescent="0.3">
      <c r="A82" s="69" t="s">
        <v>709</v>
      </c>
      <c r="B82" s="70" t="s">
        <v>710</v>
      </c>
      <c r="C82" s="71">
        <v>0</v>
      </c>
      <c r="D82" s="71">
        <v>436879.25</v>
      </c>
    </row>
    <row r="83" spans="1:4" x14ac:dyDescent="0.3">
      <c r="A83" s="69" t="s">
        <v>1197</v>
      </c>
      <c r="B83" s="70" t="s">
        <v>1198</v>
      </c>
      <c r="C83" s="71">
        <v>0</v>
      </c>
      <c r="D83" s="71">
        <v>0</v>
      </c>
    </row>
    <row r="84" spans="1:4" x14ac:dyDescent="0.3">
      <c r="A84" s="69" t="s">
        <v>711</v>
      </c>
      <c r="B84" s="70" t="s">
        <v>712</v>
      </c>
      <c r="C84" s="71">
        <v>0</v>
      </c>
      <c r="D84" s="71">
        <v>16502.8</v>
      </c>
    </row>
    <row r="85" spans="1:4" x14ac:dyDescent="0.3">
      <c r="A85" s="69" t="s">
        <v>1199</v>
      </c>
      <c r="B85" s="70" t="s">
        <v>1200</v>
      </c>
      <c r="C85" s="71">
        <v>0</v>
      </c>
      <c r="D85" s="71">
        <v>0</v>
      </c>
    </row>
    <row r="86" spans="1:4" x14ac:dyDescent="0.3">
      <c r="A86" s="69" t="s">
        <v>713</v>
      </c>
      <c r="B86" s="70" t="s">
        <v>714</v>
      </c>
      <c r="C86" s="71">
        <v>0</v>
      </c>
      <c r="D86" s="71">
        <v>131440</v>
      </c>
    </row>
    <row r="87" spans="1:4" x14ac:dyDescent="0.3">
      <c r="A87" s="69" t="s">
        <v>1201</v>
      </c>
      <c r="B87" s="70" t="s">
        <v>1202</v>
      </c>
      <c r="C87" s="71">
        <v>0</v>
      </c>
      <c r="D87" s="71">
        <v>0</v>
      </c>
    </row>
    <row r="88" spans="1:4" x14ac:dyDescent="0.3">
      <c r="A88" s="69" t="s">
        <v>715</v>
      </c>
      <c r="B88" s="70" t="s">
        <v>716</v>
      </c>
      <c r="C88" s="71">
        <v>0</v>
      </c>
      <c r="D88" s="71">
        <v>6311.2</v>
      </c>
    </row>
    <row r="89" spans="1:4" x14ac:dyDescent="0.3">
      <c r="A89" s="69" t="s">
        <v>1203</v>
      </c>
      <c r="B89" s="70" t="s">
        <v>1204</v>
      </c>
      <c r="C89" s="71">
        <v>0</v>
      </c>
      <c r="D89" s="71">
        <v>0</v>
      </c>
    </row>
    <row r="90" spans="1:4" x14ac:dyDescent="0.3">
      <c r="A90" s="69" t="s">
        <v>1205</v>
      </c>
      <c r="B90" s="70" t="s">
        <v>1206</v>
      </c>
      <c r="C90" s="71">
        <v>0</v>
      </c>
      <c r="D90" s="71">
        <v>0</v>
      </c>
    </row>
    <row r="91" spans="1:4" x14ac:dyDescent="0.3">
      <c r="A91" s="69" t="s">
        <v>1207</v>
      </c>
      <c r="B91" s="70" t="s">
        <v>1208</v>
      </c>
      <c r="C91" s="71">
        <v>0</v>
      </c>
      <c r="D91" s="71">
        <v>0</v>
      </c>
    </row>
    <row r="92" spans="1:4" x14ac:dyDescent="0.3">
      <c r="A92" s="69" t="s">
        <v>1209</v>
      </c>
      <c r="B92" s="70" t="s">
        <v>1210</v>
      </c>
      <c r="C92" s="71">
        <v>0</v>
      </c>
      <c r="D92" s="71">
        <v>0</v>
      </c>
    </row>
    <row r="93" spans="1:4" x14ac:dyDescent="0.3">
      <c r="A93" s="69" t="s">
        <v>1211</v>
      </c>
      <c r="B93" s="70" t="s">
        <v>1212</v>
      </c>
      <c r="C93" s="71">
        <v>0</v>
      </c>
      <c r="D93" s="71">
        <v>0</v>
      </c>
    </row>
    <row r="94" spans="1:4" x14ac:dyDescent="0.3">
      <c r="A94" s="69" t="s">
        <v>1213</v>
      </c>
      <c r="B94" s="70" t="s">
        <v>1214</v>
      </c>
      <c r="C94" s="71">
        <v>0</v>
      </c>
      <c r="D94" s="71">
        <v>0</v>
      </c>
    </row>
    <row r="95" spans="1:4" x14ac:dyDescent="0.3">
      <c r="A95" s="69" t="s">
        <v>1215</v>
      </c>
      <c r="B95" s="70" t="s">
        <v>1216</v>
      </c>
      <c r="C95" s="71">
        <v>0</v>
      </c>
      <c r="D95" s="71">
        <v>0</v>
      </c>
    </row>
    <row r="96" spans="1:4" x14ac:dyDescent="0.3">
      <c r="A96" s="69" t="s">
        <v>1217</v>
      </c>
      <c r="B96" s="70" t="s">
        <v>1218</v>
      </c>
      <c r="C96" s="71">
        <v>0</v>
      </c>
      <c r="D96" s="71">
        <v>0</v>
      </c>
    </row>
    <row r="97" spans="1:4" x14ac:dyDescent="0.3">
      <c r="A97" s="69" t="s">
        <v>1219</v>
      </c>
      <c r="B97" s="70" t="s">
        <v>1220</v>
      </c>
      <c r="C97" s="71">
        <v>0</v>
      </c>
      <c r="D97" s="71">
        <v>0</v>
      </c>
    </row>
    <row r="98" spans="1:4" x14ac:dyDescent="0.3">
      <c r="A98" s="69" t="s">
        <v>1221</v>
      </c>
      <c r="B98" s="70" t="s">
        <v>1222</v>
      </c>
      <c r="C98" s="71">
        <v>0</v>
      </c>
      <c r="D98" s="71">
        <v>0</v>
      </c>
    </row>
    <row r="99" spans="1:4" x14ac:dyDescent="0.3">
      <c r="A99" s="69" t="s">
        <v>1223</v>
      </c>
      <c r="B99" s="70" t="s">
        <v>1224</v>
      </c>
      <c r="C99" s="71">
        <v>0</v>
      </c>
      <c r="D99" s="71">
        <v>0</v>
      </c>
    </row>
    <row r="100" spans="1:4" x14ac:dyDescent="0.3">
      <c r="A100" s="69" t="s">
        <v>1225</v>
      </c>
      <c r="B100" s="70" t="s">
        <v>1226</v>
      </c>
      <c r="C100" s="71">
        <v>0</v>
      </c>
      <c r="D100" s="71">
        <v>0</v>
      </c>
    </row>
    <row r="101" spans="1:4" x14ac:dyDescent="0.3">
      <c r="A101" s="69" t="s">
        <v>717</v>
      </c>
      <c r="B101" s="70" t="s">
        <v>718</v>
      </c>
      <c r="C101" s="71">
        <v>0</v>
      </c>
      <c r="D101" s="71">
        <v>85980.02</v>
      </c>
    </row>
    <row r="102" spans="1:4" x14ac:dyDescent="0.3">
      <c r="A102" s="69" t="s">
        <v>2158</v>
      </c>
      <c r="B102" s="70" t="s">
        <v>2159</v>
      </c>
      <c r="C102" s="71">
        <v>0</v>
      </c>
      <c r="D102" s="71">
        <v>0</v>
      </c>
    </row>
    <row r="103" spans="1:4" x14ac:dyDescent="0.3">
      <c r="A103" s="69" t="s">
        <v>719</v>
      </c>
      <c r="B103" s="70" t="s">
        <v>720</v>
      </c>
      <c r="C103" s="71">
        <v>0</v>
      </c>
      <c r="D103" s="71">
        <v>65545.539999999994</v>
      </c>
    </row>
    <row r="104" spans="1:4" x14ac:dyDescent="0.3">
      <c r="A104" s="69" t="s">
        <v>1227</v>
      </c>
      <c r="B104" s="70" t="s">
        <v>1228</v>
      </c>
      <c r="C104" s="71">
        <v>0</v>
      </c>
      <c r="D104" s="71">
        <v>0</v>
      </c>
    </row>
    <row r="105" spans="1:4" x14ac:dyDescent="0.3">
      <c r="A105" s="69" t="s">
        <v>1229</v>
      </c>
      <c r="B105" s="70" t="s">
        <v>1230</v>
      </c>
      <c r="C105" s="71">
        <v>0</v>
      </c>
      <c r="D105" s="71">
        <v>0</v>
      </c>
    </row>
    <row r="106" spans="1:4" x14ac:dyDescent="0.3">
      <c r="A106" s="69" t="s">
        <v>1231</v>
      </c>
      <c r="B106" s="70" t="s">
        <v>1232</v>
      </c>
      <c r="C106" s="71">
        <v>0</v>
      </c>
      <c r="D106" s="71">
        <v>0</v>
      </c>
    </row>
    <row r="107" spans="1:4" x14ac:dyDescent="0.3">
      <c r="A107" s="69" t="s">
        <v>554</v>
      </c>
      <c r="B107" s="70" t="s">
        <v>555</v>
      </c>
      <c r="C107" s="71">
        <v>0</v>
      </c>
      <c r="D107" s="71">
        <v>772841.38</v>
      </c>
    </row>
    <row r="108" spans="1:4" x14ac:dyDescent="0.3">
      <c r="A108" s="69" t="s">
        <v>721</v>
      </c>
      <c r="B108" s="70" t="s">
        <v>722</v>
      </c>
      <c r="C108" s="71">
        <v>59835.85</v>
      </c>
      <c r="D108" s="71">
        <v>0</v>
      </c>
    </row>
    <row r="109" spans="1:4" x14ac:dyDescent="0.3">
      <c r="A109" s="69" t="s">
        <v>723</v>
      </c>
      <c r="B109" s="70" t="s">
        <v>724</v>
      </c>
      <c r="C109" s="71">
        <v>0</v>
      </c>
      <c r="D109" s="71">
        <v>1574290.32</v>
      </c>
    </row>
    <row r="110" spans="1:4" x14ac:dyDescent="0.3">
      <c r="A110" s="69" t="s">
        <v>556</v>
      </c>
      <c r="B110" s="70" t="s">
        <v>725</v>
      </c>
      <c r="C110" s="71">
        <v>0</v>
      </c>
      <c r="D110" s="71">
        <v>635601.51</v>
      </c>
    </row>
    <row r="111" spans="1:4" x14ac:dyDescent="0.3">
      <c r="A111" s="69" t="s">
        <v>726</v>
      </c>
      <c r="B111" s="70" t="s">
        <v>727</v>
      </c>
      <c r="C111" s="71">
        <v>0</v>
      </c>
      <c r="D111" s="71">
        <v>0</v>
      </c>
    </row>
    <row r="112" spans="1:4" x14ac:dyDescent="0.3">
      <c r="A112" s="69" t="s">
        <v>728</v>
      </c>
      <c r="B112" s="70" t="s">
        <v>729</v>
      </c>
      <c r="C112" s="71">
        <v>0</v>
      </c>
      <c r="D112" s="71">
        <v>71511.990000000005</v>
      </c>
    </row>
    <row r="113" spans="1:4" x14ac:dyDescent="0.3">
      <c r="A113" s="69" t="s">
        <v>1233</v>
      </c>
      <c r="B113" s="70" t="s">
        <v>1234</v>
      </c>
      <c r="C113" s="71">
        <v>0</v>
      </c>
      <c r="D113" s="71">
        <v>0</v>
      </c>
    </row>
    <row r="114" spans="1:4" x14ac:dyDescent="0.3">
      <c r="A114" s="69" t="s">
        <v>730</v>
      </c>
      <c r="B114" s="70" t="s">
        <v>731</v>
      </c>
      <c r="C114" s="71">
        <v>0</v>
      </c>
      <c r="D114" s="71">
        <v>105067.62</v>
      </c>
    </row>
    <row r="115" spans="1:4" x14ac:dyDescent="0.3">
      <c r="A115" s="69" t="s">
        <v>732</v>
      </c>
      <c r="B115" s="70" t="s">
        <v>733</v>
      </c>
      <c r="C115" s="71">
        <v>0</v>
      </c>
      <c r="D115" s="71">
        <v>31516.07</v>
      </c>
    </row>
    <row r="116" spans="1:4" x14ac:dyDescent="0.3">
      <c r="A116" s="69" t="s">
        <v>2072</v>
      </c>
      <c r="B116" s="70" t="s">
        <v>2073</v>
      </c>
      <c r="C116" s="71">
        <v>0</v>
      </c>
      <c r="D116" s="71">
        <v>0</v>
      </c>
    </row>
    <row r="117" spans="1:4" x14ac:dyDescent="0.3">
      <c r="A117" s="69" t="s">
        <v>1030</v>
      </c>
      <c r="B117" s="70" t="s">
        <v>1235</v>
      </c>
      <c r="C117" s="71">
        <v>0</v>
      </c>
      <c r="D117" s="71">
        <v>0</v>
      </c>
    </row>
    <row r="118" spans="1:4" x14ac:dyDescent="0.3">
      <c r="A118" s="69" t="s">
        <v>734</v>
      </c>
      <c r="B118" s="70" t="s">
        <v>735</v>
      </c>
      <c r="C118" s="71">
        <v>795.85</v>
      </c>
      <c r="D118" s="71">
        <v>0</v>
      </c>
    </row>
    <row r="119" spans="1:4" x14ac:dyDescent="0.3">
      <c r="A119" s="69" t="s">
        <v>736</v>
      </c>
      <c r="B119" s="70" t="s">
        <v>737</v>
      </c>
      <c r="C119" s="71">
        <v>0</v>
      </c>
      <c r="D119" s="71">
        <v>1121</v>
      </c>
    </row>
    <row r="120" spans="1:4" x14ac:dyDescent="0.3">
      <c r="A120" s="69" t="s">
        <v>1236</v>
      </c>
      <c r="B120" s="70" t="s">
        <v>1237</v>
      </c>
      <c r="C120" s="71">
        <v>0</v>
      </c>
      <c r="D120" s="71">
        <v>0</v>
      </c>
    </row>
    <row r="121" spans="1:4" x14ac:dyDescent="0.3">
      <c r="A121" s="69" t="s">
        <v>1238</v>
      </c>
      <c r="B121" s="70" t="s">
        <v>1239</v>
      </c>
      <c r="C121" s="71">
        <v>0</v>
      </c>
      <c r="D121" s="71">
        <v>0</v>
      </c>
    </row>
    <row r="122" spans="1:4" x14ac:dyDescent="0.3">
      <c r="A122" s="69" t="s">
        <v>1240</v>
      </c>
      <c r="B122" s="70" t="s">
        <v>1241</v>
      </c>
      <c r="C122" s="71">
        <v>0</v>
      </c>
      <c r="D122" s="71">
        <v>0</v>
      </c>
    </row>
    <row r="123" spans="1:4" x14ac:dyDescent="0.3">
      <c r="A123" s="69" t="s">
        <v>738</v>
      </c>
      <c r="B123" s="70" t="s">
        <v>739</v>
      </c>
      <c r="C123" s="71">
        <v>0</v>
      </c>
      <c r="D123" s="71">
        <v>7570.16</v>
      </c>
    </row>
    <row r="124" spans="1:4" x14ac:dyDescent="0.3">
      <c r="A124" s="69" t="s">
        <v>1242</v>
      </c>
      <c r="B124" s="70" t="s">
        <v>1243</v>
      </c>
      <c r="C124" s="71">
        <v>0</v>
      </c>
      <c r="D124" s="71">
        <v>0</v>
      </c>
    </row>
    <row r="125" spans="1:4" x14ac:dyDescent="0.3">
      <c r="A125" s="69" t="s">
        <v>740</v>
      </c>
      <c r="B125" s="70" t="s">
        <v>741</v>
      </c>
      <c r="C125" s="71">
        <v>0</v>
      </c>
      <c r="D125" s="71">
        <v>5000</v>
      </c>
    </row>
    <row r="126" spans="1:4" x14ac:dyDescent="0.3">
      <c r="A126" s="69" t="s">
        <v>742</v>
      </c>
      <c r="B126" s="70" t="s">
        <v>743</v>
      </c>
      <c r="C126" s="71">
        <v>0</v>
      </c>
      <c r="D126" s="71">
        <v>0</v>
      </c>
    </row>
    <row r="127" spans="1:4" x14ac:dyDescent="0.3">
      <c r="A127" s="69" t="s">
        <v>1244</v>
      </c>
      <c r="B127" s="70" t="s">
        <v>988</v>
      </c>
      <c r="C127" s="71">
        <v>0</v>
      </c>
      <c r="D127" s="71">
        <v>0</v>
      </c>
    </row>
    <row r="128" spans="1:4" x14ac:dyDescent="0.3">
      <c r="A128" s="69" t="s">
        <v>1245</v>
      </c>
      <c r="B128" s="70" t="s">
        <v>1246</v>
      </c>
      <c r="C128" s="71">
        <v>0</v>
      </c>
      <c r="D128" s="71">
        <v>0</v>
      </c>
    </row>
    <row r="129" spans="1:4" x14ac:dyDescent="0.3">
      <c r="A129" s="69" t="s">
        <v>1247</v>
      </c>
      <c r="B129" s="70" t="s">
        <v>1248</v>
      </c>
      <c r="C129" s="71">
        <v>0</v>
      </c>
      <c r="D129" s="71">
        <v>0</v>
      </c>
    </row>
    <row r="130" spans="1:4" x14ac:dyDescent="0.3">
      <c r="A130" s="69" t="s">
        <v>1249</v>
      </c>
      <c r="B130" s="70" t="s">
        <v>1250</v>
      </c>
      <c r="C130" s="71">
        <v>0</v>
      </c>
      <c r="D130" s="71">
        <v>0</v>
      </c>
    </row>
    <row r="131" spans="1:4" x14ac:dyDescent="0.3">
      <c r="A131" s="69" t="s">
        <v>1251</v>
      </c>
      <c r="B131" s="70" t="s">
        <v>1252</v>
      </c>
      <c r="C131" s="71">
        <v>0</v>
      </c>
      <c r="D131" s="71">
        <v>0</v>
      </c>
    </row>
    <row r="132" spans="1:4" x14ac:dyDescent="0.3">
      <c r="A132" s="69" t="s">
        <v>1253</v>
      </c>
      <c r="B132" s="70" t="s">
        <v>1254</v>
      </c>
      <c r="C132" s="71">
        <v>0</v>
      </c>
      <c r="D132" s="71">
        <v>0</v>
      </c>
    </row>
    <row r="133" spans="1:4" x14ac:dyDescent="0.3">
      <c r="A133" s="69" t="s">
        <v>1036</v>
      </c>
      <c r="B133" s="70" t="s">
        <v>1255</v>
      </c>
      <c r="C133" s="71">
        <v>0</v>
      </c>
      <c r="D133" s="71">
        <v>0</v>
      </c>
    </row>
    <row r="134" spans="1:4" x14ac:dyDescent="0.3">
      <c r="A134" s="69" t="s">
        <v>1256</v>
      </c>
      <c r="B134" s="70" t="s">
        <v>1257</v>
      </c>
      <c r="C134" s="71">
        <v>0</v>
      </c>
      <c r="D134" s="71">
        <v>0</v>
      </c>
    </row>
    <row r="135" spans="1:4" x14ac:dyDescent="0.3">
      <c r="A135" s="69" t="s">
        <v>744</v>
      </c>
      <c r="B135" s="70" t="s">
        <v>745</v>
      </c>
      <c r="C135" s="71">
        <v>0</v>
      </c>
      <c r="D135" s="71">
        <v>0</v>
      </c>
    </row>
    <row r="136" spans="1:4" x14ac:dyDescent="0.3">
      <c r="A136" s="69" t="s">
        <v>560</v>
      </c>
      <c r="B136" s="70" t="s">
        <v>746</v>
      </c>
      <c r="C136" s="71">
        <v>0</v>
      </c>
      <c r="D136" s="71">
        <v>5646.49</v>
      </c>
    </row>
    <row r="137" spans="1:4" x14ac:dyDescent="0.3">
      <c r="A137" s="69" t="s">
        <v>1258</v>
      </c>
      <c r="B137" s="70" t="s">
        <v>1259</v>
      </c>
      <c r="C137" s="71">
        <v>0</v>
      </c>
      <c r="D137" s="71">
        <v>0</v>
      </c>
    </row>
    <row r="138" spans="1:4" x14ac:dyDescent="0.3">
      <c r="A138" s="69" t="s">
        <v>747</v>
      </c>
      <c r="B138" s="70" t="s">
        <v>748</v>
      </c>
      <c r="C138" s="71">
        <v>0</v>
      </c>
      <c r="D138" s="71">
        <v>0</v>
      </c>
    </row>
    <row r="139" spans="1:4" x14ac:dyDescent="0.3">
      <c r="A139" s="69" t="s">
        <v>562</v>
      </c>
      <c r="B139" s="70" t="s">
        <v>1260</v>
      </c>
      <c r="C139" s="71">
        <v>0</v>
      </c>
      <c r="D139" s="71">
        <v>0</v>
      </c>
    </row>
    <row r="140" spans="1:4" x14ac:dyDescent="0.3">
      <c r="A140" s="69" t="s">
        <v>564</v>
      </c>
      <c r="B140" s="70" t="s">
        <v>1261</v>
      </c>
      <c r="C140" s="71">
        <v>0</v>
      </c>
      <c r="D140" s="71">
        <v>0</v>
      </c>
    </row>
    <row r="141" spans="1:4" x14ac:dyDescent="0.3">
      <c r="A141" s="69" t="s">
        <v>1067</v>
      </c>
      <c r="B141" s="70" t="s">
        <v>1262</v>
      </c>
      <c r="C141" s="71">
        <v>0</v>
      </c>
      <c r="D141" s="71">
        <v>0</v>
      </c>
    </row>
    <row r="142" spans="1:4" x14ac:dyDescent="0.3">
      <c r="A142" s="69" t="s">
        <v>566</v>
      </c>
      <c r="B142" s="70" t="s">
        <v>749</v>
      </c>
      <c r="C142" s="71">
        <v>0</v>
      </c>
      <c r="D142" s="71">
        <v>25192.6</v>
      </c>
    </row>
    <row r="143" spans="1:4" x14ac:dyDescent="0.3">
      <c r="A143" s="69" t="s">
        <v>570</v>
      </c>
      <c r="B143" s="70" t="s">
        <v>750</v>
      </c>
      <c r="C143" s="71">
        <v>0</v>
      </c>
      <c r="D143" s="71">
        <v>24352.720000000001</v>
      </c>
    </row>
    <row r="144" spans="1:4" x14ac:dyDescent="0.3">
      <c r="A144" s="69" t="s">
        <v>1263</v>
      </c>
      <c r="B144" s="70" t="s">
        <v>1264</v>
      </c>
      <c r="C144" s="71">
        <v>0</v>
      </c>
      <c r="D144" s="71">
        <v>0</v>
      </c>
    </row>
    <row r="145" spans="1:4" x14ac:dyDescent="0.3">
      <c r="A145" s="69" t="s">
        <v>751</v>
      </c>
      <c r="B145" s="70" t="s">
        <v>752</v>
      </c>
      <c r="C145" s="71">
        <v>0</v>
      </c>
      <c r="D145" s="71">
        <v>17327.650000000001</v>
      </c>
    </row>
    <row r="146" spans="1:4" x14ac:dyDescent="0.3">
      <c r="A146" s="69" t="s">
        <v>753</v>
      </c>
      <c r="B146" s="70" t="s">
        <v>754</v>
      </c>
      <c r="C146" s="71">
        <v>0</v>
      </c>
      <c r="D146" s="71">
        <v>9046.1200000000008</v>
      </c>
    </row>
    <row r="147" spans="1:4" x14ac:dyDescent="0.3">
      <c r="A147" s="69" t="s">
        <v>572</v>
      </c>
      <c r="B147" s="70" t="s">
        <v>1265</v>
      </c>
      <c r="C147" s="71">
        <v>0</v>
      </c>
      <c r="D147" s="71">
        <v>0</v>
      </c>
    </row>
    <row r="148" spans="1:4" x14ac:dyDescent="0.3">
      <c r="A148" s="69" t="s">
        <v>755</v>
      </c>
      <c r="B148" s="70" t="s">
        <v>756</v>
      </c>
      <c r="C148" s="71">
        <v>0</v>
      </c>
      <c r="D148" s="71">
        <v>0</v>
      </c>
    </row>
    <row r="149" spans="1:4" x14ac:dyDescent="0.3">
      <c r="A149" s="69" t="s">
        <v>757</v>
      </c>
      <c r="B149" s="70" t="s">
        <v>758</v>
      </c>
      <c r="C149" s="71">
        <v>0</v>
      </c>
      <c r="D149" s="71">
        <v>2050</v>
      </c>
    </row>
    <row r="150" spans="1:4" x14ac:dyDescent="0.3">
      <c r="A150" s="69" t="s">
        <v>574</v>
      </c>
      <c r="B150" s="70" t="s">
        <v>1266</v>
      </c>
      <c r="C150" s="71">
        <v>0</v>
      </c>
      <c r="D150" s="71">
        <v>0</v>
      </c>
    </row>
    <row r="151" spans="1:4" x14ac:dyDescent="0.3">
      <c r="A151" s="69" t="s">
        <v>1267</v>
      </c>
      <c r="B151" s="70" t="s">
        <v>1268</v>
      </c>
      <c r="C151" s="71">
        <v>0</v>
      </c>
      <c r="D151" s="71">
        <v>0</v>
      </c>
    </row>
    <row r="152" spans="1:4" x14ac:dyDescent="0.3">
      <c r="A152" s="69" t="s">
        <v>1269</v>
      </c>
      <c r="B152" s="70" t="s">
        <v>1270</v>
      </c>
      <c r="C152" s="71">
        <v>0</v>
      </c>
      <c r="D152" s="71">
        <v>0</v>
      </c>
    </row>
    <row r="153" spans="1:4" x14ac:dyDescent="0.3">
      <c r="A153" s="69" t="s">
        <v>1271</v>
      </c>
      <c r="B153" s="70" t="s">
        <v>1272</v>
      </c>
      <c r="C153" s="71">
        <v>0</v>
      </c>
      <c r="D153" s="71">
        <v>0</v>
      </c>
    </row>
    <row r="154" spans="1:4" x14ac:dyDescent="0.3">
      <c r="A154" s="69" t="s">
        <v>759</v>
      </c>
      <c r="B154" s="70" t="s">
        <v>760</v>
      </c>
      <c r="C154" s="71">
        <v>0</v>
      </c>
      <c r="D154" s="71">
        <v>1000</v>
      </c>
    </row>
    <row r="155" spans="1:4" x14ac:dyDescent="0.3">
      <c r="A155" s="69" t="s">
        <v>761</v>
      </c>
      <c r="B155" s="70" t="s">
        <v>762</v>
      </c>
      <c r="C155" s="71">
        <v>0</v>
      </c>
      <c r="D155" s="71">
        <v>0</v>
      </c>
    </row>
    <row r="156" spans="1:4" x14ac:dyDescent="0.3">
      <c r="A156" s="69" t="s">
        <v>1273</v>
      </c>
      <c r="B156" s="70" t="s">
        <v>1274</v>
      </c>
      <c r="C156" s="71">
        <v>0</v>
      </c>
      <c r="D156" s="71">
        <v>0</v>
      </c>
    </row>
    <row r="157" spans="1:4" x14ac:dyDescent="0.3">
      <c r="A157" s="69" t="s">
        <v>1275</v>
      </c>
      <c r="B157" s="70" t="s">
        <v>1276</v>
      </c>
      <c r="C157" s="71">
        <v>0</v>
      </c>
      <c r="D157" s="71">
        <v>6511.3</v>
      </c>
    </row>
    <row r="158" spans="1:4" x14ac:dyDescent="0.3">
      <c r="A158" s="69" t="s">
        <v>763</v>
      </c>
      <c r="B158" s="70" t="s">
        <v>764</v>
      </c>
      <c r="C158" s="71">
        <v>0</v>
      </c>
      <c r="D158" s="71">
        <v>0</v>
      </c>
    </row>
    <row r="159" spans="1:4" x14ac:dyDescent="0.3">
      <c r="A159" s="69" t="s">
        <v>765</v>
      </c>
      <c r="B159" s="70" t="s">
        <v>766</v>
      </c>
      <c r="C159" s="71">
        <v>0</v>
      </c>
      <c r="D159" s="71">
        <v>6450</v>
      </c>
    </row>
    <row r="160" spans="1:4" x14ac:dyDescent="0.3">
      <c r="A160" s="69" t="s">
        <v>1277</v>
      </c>
      <c r="B160" s="70" t="s">
        <v>1278</v>
      </c>
      <c r="C160" s="71">
        <v>0</v>
      </c>
      <c r="D160" s="71">
        <v>0</v>
      </c>
    </row>
    <row r="161" spans="1:4" x14ac:dyDescent="0.3">
      <c r="A161" s="69" t="s">
        <v>1279</v>
      </c>
      <c r="B161" s="70" t="s">
        <v>1280</v>
      </c>
      <c r="C161" s="71">
        <v>0</v>
      </c>
      <c r="D161" s="71">
        <v>0</v>
      </c>
    </row>
    <row r="162" spans="1:4" x14ac:dyDescent="0.3">
      <c r="A162" s="69" t="s">
        <v>1281</v>
      </c>
      <c r="B162" s="70" t="s">
        <v>1282</v>
      </c>
      <c r="C162" s="71">
        <v>0</v>
      </c>
      <c r="D162" s="71">
        <v>0</v>
      </c>
    </row>
    <row r="163" spans="1:4" x14ac:dyDescent="0.3">
      <c r="A163" s="69" t="s">
        <v>1283</v>
      </c>
      <c r="B163" s="70" t="s">
        <v>1284</v>
      </c>
      <c r="C163" s="71">
        <v>0</v>
      </c>
      <c r="D163" s="71">
        <v>0</v>
      </c>
    </row>
    <row r="164" spans="1:4" x14ac:dyDescent="0.3">
      <c r="A164" s="69" t="s">
        <v>767</v>
      </c>
      <c r="B164" s="70" t="s">
        <v>768</v>
      </c>
      <c r="C164" s="71">
        <v>0</v>
      </c>
      <c r="D164" s="71">
        <v>0</v>
      </c>
    </row>
    <row r="165" spans="1:4" x14ac:dyDescent="0.3">
      <c r="A165" s="69" t="s">
        <v>1285</v>
      </c>
      <c r="B165" s="70" t="s">
        <v>1286</v>
      </c>
      <c r="C165" s="71">
        <v>0</v>
      </c>
      <c r="D165" s="71">
        <v>0</v>
      </c>
    </row>
    <row r="166" spans="1:4" x14ac:dyDescent="0.3">
      <c r="A166" s="69" t="s">
        <v>1287</v>
      </c>
      <c r="B166" s="70" t="s">
        <v>1288</v>
      </c>
      <c r="C166" s="71">
        <v>0</v>
      </c>
      <c r="D166" s="71">
        <v>0</v>
      </c>
    </row>
    <row r="167" spans="1:4" x14ac:dyDescent="0.3">
      <c r="A167" s="69" t="s">
        <v>769</v>
      </c>
      <c r="B167" s="70" t="s">
        <v>770</v>
      </c>
      <c r="C167" s="71">
        <v>0</v>
      </c>
      <c r="D167" s="71">
        <v>8435</v>
      </c>
    </row>
    <row r="168" spans="1:4" x14ac:dyDescent="0.3">
      <c r="A168" s="69" t="s">
        <v>771</v>
      </c>
      <c r="B168" s="70" t="s">
        <v>772</v>
      </c>
      <c r="C168" s="71">
        <v>0</v>
      </c>
      <c r="D168" s="71">
        <v>0</v>
      </c>
    </row>
    <row r="169" spans="1:4" x14ac:dyDescent="0.3">
      <c r="A169" s="69" t="s">
        <v>1077</v>
      </c>
      <c r="B169" s="70" t="s">
        <v>1289</v>
      </c>
      <c r="C169" s="71">
        <v>0</v>
      </c>
      <c r="D169" s="71">
        <v>0</v>
      </c>
    </row>
    <row r="170" spans="1:4" x14ac:dyDescent="0.3">
      <c r="A170" s="69" t="s">
        <v>773</v>
      </c>
      <c r="B170" s="70" t="s">
        <v>774</v>
      </c>
      <c r="C170" s="71">
        <v>80139</v>
      </c>
      <c r="D170" s="71">
        <v>0</v>
      </c>
    </row>
    <row r="171" spans="1:4" x14ac:dyDescent="0.3">
      <c r="A171" s="69" t="s">
        <v>1079</v>
      </c>
      <c r="B171" s="70" t="s">
        <v>1290</v>
      </c>
      <c r="C171" s="71">
        <v>0</v>
      </c>
      <c r="D171" s="71">
        <v>0</v>
      </c>
    </row>
    <row r="172" spans="1:4" x14ac:dyDescent="0.3">
      <c r="A172" s="69" t="s">
        <v>584</v>
      </c>
      <c r="B172" s="70" t="s">
        <v>1291</v>
      </c>
      <c r="C172" s="71">
        <v>0</v>
      </c>
      <c r="D172" s="71">
        <v>0</v>
      </c>
    </row>
    <row r="173" spans="1:4" x14ac:dyDescent="0.3">
      <c r="A173" s="69" t="s">
        <v>1086</v>
      </c>
      <c r="B173" s="70" t="s">
        <v>1292</v>
      </c>
      <c r="C173" s="71">
        <v>0</v>
      </c>
      <c r="D173" s="71">
        <v>0</v>
      </c>
    </row>
    <row r="174" spans="1:4" x14ac:dyDescent="0.3">
      <c r="A174" s="69" t="s">
        <v>1100</v>
      </c>
      <c r="B174" s="70" t="s">
        <v>1293</v>
      </c>
      <c r="C174" s="71">
        <v>0</v>
      </c>
      <c r="D174" s="71">
        <v>0</v>
      </c>
    </row>
    <row r="175" spans="1:4" x14ac:dyDescent="0.3">
      <c r="A175" s="69" t="s">
        <v>610</v>
      </c>
      <c r="B175" s="70" t="s">
        <v>1294</v>
      </c>
      <c r="C175" s="71">
        <v>0</v>
      </c>
      <c r="D175" s="71">
        <v>0</v>
      </c>
    </row>
    <row r="176" spans="1:4" x14ac:dyDescent="0.3">
      <c r="A176" s="69" t="s">
        <v>614</v>
      </c>
      <c r="B176" s="70" t="s">
        <v>1295</v>
      </c>
      <c r="C176" s="71">
        <v>0</v>
      </c>
      <c r="D176" s="71">
        <v>0</v>
      </c>
    </row>
    <row r="177" spans="1:4" x14ac:dyDescent="0.3">
      <c r="A177" s="69" t="s">
        <v>1296</v>
      </c>
      <c r="B177" s="70" t="s">
        <v>1297</v>
      </c>
      <c r="C177" s="71">
        <v>0</v>
      </c>
      <c r="D177" s="71">
        <v>0</v>
      </c>
    </row>
    <row r="178" spans="1:4" x14ac:dyDescent="0.3">
      <c r="A178" s="69" t="s">
        <v>775</v>
      </c>
      <c r="B178" s="70" t="s">
        <v>776</v>
      </c>
      <c r="C178" s="71">
        <v>32.619999999999997</v>
      </c>
      <c r="D178" s="71">
        <v>0</v>
      </c>
    </row>
    <row r="179" spans="1:4" x14ac:dyDescent="0.3">
      <c r="A179" s="69" t="s">
        <v>777</v>
      </c>
      <c r="B179" s="70" t="s">
        <v>778</v>
      </c>
      <c r="C179" s="71">
        <v>2143.94</v>
      </c>
      <c r="D179" s="71">
        <v>0</v>
      </c>
    </row>
    <row r="180" spans="1:4" x14ac:dyDescent="0.3">
      <c r="A180" s="69" t="s">
        <v>779</v>
      </c>
      <c r="B180" s="70" t="s">
        <v>780</v>
      </c>
      <c r="C180" s="71">
        <v>11595</v>
      </c>
      <c r="D180" s="71">
        <v>0</v>
      </c>
    </row>
    <row r="181" spans="1:4" x14ac:dyDescent="0.3">
      <c r="A181" s="69" t="s">
        <v>781</v>
      </c>
      <c r="B181" s="70" t="s">
        <v>782</v>
      </c>
      <c r="C181" s="71">
        <v>2775.13</v>
      </c>
      <c r="D181" s="71">
        <v>0</v>
      </c>
    </row>
    <row r="182" spans="1:4" x14ac:dyDescent="0.3">
      <c r="A182" s="69" t="s">
        <v>1298</v>
      </c>
      <c r="B182" s="70" t="s">
        <v>1299</v>
      </c>
      <c r="C182" s="71">
        <v>0</v>
      </c>
      <c r="D182" s="71">
        <v>0</v>
      </c>
    </row>
    <row r="183" spans="1:4" x14ac:dyDescent="0.3">
      <c r="A183" s="69" t="s">
        <v>783</v>
      </c>
      <c r="B183" s="70" t="s">
        <v>784</v>
      </c>
      <c r="C183" s="71">
        <v>2576.33</v>
      </c>
      <c r="D183" s="71">
        <v>0</v>
      </c>
    </row>
    <row r="184" spans="1:4" x14ac:dyDescent="0.3">
      <c r="A184" s="69" t="s">
        <v>1300</v>
      </c>
      <c r="B184" s="70" t="s">
        <v>1301</v>
      </c>
      <c r="C184" s="71">
        <v>0</v>
      </c>
      <c r="D184" s="71">
        <v>0</v>
      </c>
    </row>
    <row r="185" spans="1:4" x14ac:dyDescent="0.3">
      <c r="A185" s="69" t="s">
        <v>785</v>
      </c>
      <c r="B185" s="70" t="s">
        <v>786</v>
      </c>
      <c r="C185" s="71">
        <v>0</v>
      </c>
      <c r="D185" s="71">
        <v>0</v>
      </c>
    </row>
    <row r="186" spans="1:4" x14ac:dyDescent="0.3">
      <c r="A186" s="69" t="s">
        <v>787</v>
      </c>
      <c r="B186" s="70" t="s">
        <v>788</v>
      </c>
      <c r="C186" s="71">
        <v>1452</v>
      </c>
      <c r="D186" s="71">
        <v>0</v>
      </c>
    </row>
    <row r="187" spans="1:4" x14ac:dyDescent="0.3">
      <c r="A187" s="69" t="s">
        <v>789</v>
      </c>
      <c r="B187" s="70" t="s">
        <v>790</v>
      </c>
      <c r="C187" s="71">
        <v>893.69</v>
      </c>
      <c r="D187" s="71">
        <v>0</v>
      </c>
    </row>
    <row r="188" spans="1:4" x14ac:dyDescent="0.3">
      <c r="A188" s="69" t="s">
        <v>791</v>
      </c>
      <c r="B188" s="70" t="s">
        <v>792</v>
      </c>
      <c r="C188" s="71">
        <v>6544.5</v>
      </c>
      <c r="D188" s="71">
        <v>0</v>
      </c>
    </row>
    <row r="189" spans="1:4" x14ac:dyDescent="0.3">
      <c r="A189" s="69" t="s">
        <v>1302</v>
      </c>
      <c r="B189" s="70" t="s">
        <v>1303</v>
      </c>
      <c r="C189" s="71">
        <v>0</v>
      </c>
      <c r="D189" s="71">
        <v>0</v>
      </c>
    </row>
    <row r="190" spans="1:4" x14ac:dyDescent="0.3">
      <c r="A190" s="69" t="s">
        <v>1304</v>
      </c>
      <c r="B190" s="70" t="s">
        <v>1305</v>
      </c>
      <c r="C190" s="71">
        <v>0</v>
      </c>
      <c r="D190" s="71">
        <v>0</v>
      </c>
    </row>
    <row r="191" spans="1:4" x14ac:dyDescent="0.3">
      <c r="A191" s="69" t="s">
        <v>793</v>
      </c>
      <c r="B191" s="70" t="s">
        <v>794</v>
      </c>
      <c r="C191" s="71">
        <v>1374.33</v>
      </c>
      <c r="D191" s="71">
        <v>0</v>
      </c>
    </row>
    <row r="192" spans="1:4" x14ac:dyDescent="0.3">
      <c r="A192" s="69" t="s">
        <v>795</v>
      </c>
      <c r="B192" s="70" t="s">
        <v>796</v>
      </c>
      <c r="C192" s="71">
        <v>471</v>
      </c>
      <c r="D192" s="71">
        <v>0</v>
      </c>
    </row>
    <row r="193" spans="1:4" x14ac:dyDescent="0.3">
      <c r="A193" s="69" t="s">
        <v>797</v>
      </c>
      <c r="B193" s="70" t="s">
        <v>798</v>
      </c>
      <c r="C193" s="71">
        <v>3305.02</v>
      </c>
      <c r="D193" s="71">
        <v>0</v>
      </c>
    </row>
    <row r="194" spans="1:4" x14ac:dyDescent="0.3">
      <c r="A194" s="69" t="s">
        <v>1306</v>
      </c>
      <c r="B194" s="70" t="s">
        <v>1307</v>
      </c>
      <c r="C194" s="71">
        <v>0</v>
      </c>
      <c r="D194" s="71">
        <v>0</v>
      </c>
    </row>
    <row r="195" spans="1:4" x14ac:dyDescent="0.3">
      <c r="A195" s="69" t="s">
        <v>799</v>
      </c>
      <c r="B195" s="70" t="s">
        <v>800</v>
      </c>
      <c r="C195" s="71">
        <v>1995.4</v>
      </c>
      <c r="D195" s="71">
        <v>0</v>
      </c>
    </row>
    <row r="196" spans="1:4" x14ac:dyDescent="0.3">
      <c r="A196" s="69" t="s">
        <v>801</v>
      </c>
      <c r="B196" s="70" t="s">
        <v>802</v>
      </c>
      <c r="C196" s="71">
        <v>0</v>
      </c>
      <c r="D196" s="71">
        <v>0</v>
      </c>
    </row>
    <row r="197" spans="1:4" x14ac:dyDescent="0.3">
      <c r="A197" s="69" t="s">
        <v>1308</v>
      </c>
      <c r="B197" s="70" t="s">
        <v>1309</v>
      </c>
      <c r="C197" s="71">
        <v>0</v>
      </c>
      <c r="D197" s="71">
        <v>0</v>
      </c>
    </row>
    <row r="198" spans="1:4" x14ac:dyDescent="0.3">
      <c r="A198" s="69" t="s">
        <v>1310</v>
      </c>
      <c r="B198" s="70" t="s">
        <v>1311</v>
      </c>
      <c r="C198" s="71">
        <v>1168.83</v>
      </c>
      <c r="D198" s="71">
        <v>0</v>
      </c>
    </row>
    <row r="199" spans="1:4" x14ac:dyDescent="0.3">
      <c r="A199" s="69" t="s">
        <v>803</v>
      </c>
      <c r="B199" s="70" t="s">
        <v>804</v>
      </c>
      <c r="C199" s="71">
        <v>1829.25</v>
      </c>
      <c r="D199" s="71">
        <v>0</v>
      </c>
    </row>
    <row r="200" spans="1:4" x14ac:dyDescent="0.3">
      <c r="A200" s="69" t="s">
        <v>805</v>
      </c>
      <c r="B200" s="70" t="s">
        <v>806</v>
      </c>
      <c r="C200" s="71">
        <v>91.5</v>
      </c>
      <c r="D200" s="71">
        <v>0</v>
      </c>
    </row>
    <row r="201" spans="1:4" x14ac:dyDescent="0.3">
      <c r="A201" s="69" t="s">
        <v>807</v>
      </c>
      <c r="B201" s="70" t="s">
        <v>808</v>
      </c>
      <c r="C201" s="71">
        <v>4254.75</v>
      </c>
      <c r="D201" s="71">
        <v>0</v>
      </c>
    </row>
    <row r="202" spans="1:4" x14ac:dyDescent="0.3">
      <c r="A202" s="69" t="s">
        <v>809</v>
      </c>
      <c r="B202" s="70" t="s">
        <v>810</v>
      </c>
      <c r="C202" s="71">
        <v>520.5</v>
      </c>
      <c r="D202" s="71">
        <v>0</v>
      </c>
    </row>
    <row r="203" spans="1:4" x14ac:dyDescent="0.3">
      <c r="A203" s="69" t="s">
        <v>811</v>
      </c>
      <c r="B203" s="70" t="s">
        <v>812</v>
      </c>
      <c r="C203" s="71">
        <v>3106.65</v>
      </c>
      <c r="D203" s="71">
        <v>0</v>
      </c>
    </row>
    <row r="204" spans="1:4" x14ac:dyDescent="0.3">
      <c r="A204" s="69" t="s">
        <v>813</v>
      </c>
      <c r="B204" s="70" t="s">
        <v>814</v>
      </c>
      <c r="C204" s="71">
        <v>0</v>
      </c>
      <c r="D204" s="71">
        <v>0</v>
      </c>
    </row>
    <row r="205" spans="1:4" x14ac:dyDescent="0.3">
      <c r="A205" s="69" t="s">
        <v>1312</v>
      </c>
      <c r="B205" s="70" t="s">
        <v>1313</v>
      </c>
      <c r="C205" s="71">
        <v>0</v>
      </c>
      <c r="D205" s="71">
        <v>0</v>
      </c>
    </row>
    <row r="206" spans="1:4" x14ac:dyDescent="0.3">
      <c r="A206" s="69" t="s">
        <v>1314</v>
      </c>
      <c r="B206" s="70" t="s">
        <v>1315</v>
      </c>
      <c r="C206" s="71">
        <v>0</v>
      </c>
      <c r="D206" s="71">
        <v>0</v>
      </c>
    </row>
    <row r="207" spans="1:4" x14ac:dyDescent="0.3">
      <c r="A207" s="69" t="s">
        <v>1316</v>
      </c>
      <c r="B207" s="70" t="s">
        <v>1317</v>
      </c>
      <c r="C207" s="71">
        <v>0</v>
      </c>
      <c r="D207" s="71">
        <v>0</v>
      </c>
    </row>
    <row r="208" spans="1:4" x14ac:dyDescent="0.3">
      <c r="A208" s="69" t="s">
        <v>1318</v>
      </c>
      <c r="B208" s="70" t="s">
        <v>1319</v>
      </c>
      <c r="C208" s="71">
        <v>0</v>
      </c>
      <c r="D208" s="71">
        <v>0</v>
      </c>
    </row>
    <row r="209" spans="1:4" x14ac:dyDescent="0.3">
      <c r="A209" s="69" t="s">
        <v>1320</v>
      </c>
      <c r="B209" s="70" t="s">
        <v>1321</v>
      </c>
      <c r="C209" s="71">
        <v>0</v>
      </c>
      <c r="D209" s="71">
        <v>0</v>
      </c>
    </row>
    <row r="210" spans="1:4" x14ac:dyDescent="0.3">
      <c r="A210" s="69" t="s">
        <v>815</v>
      </c>
      <c r="B210" s="70" t="s">
        <v>816</v>
      </c>
      <c r="C210" s="71">
        <v>0</v>
      </c>
      <c r="D210" s="71">
        <v>0</v>
      </c>
    </row>
    <row r="211" spans="1:4" x14ac:dyDescent="0.3">
      <c r="A211" s="69" t="s">
        <v>817</v>
      </c>
      <c r="B211" s="70" t="s">
        <v>818</v>
      </c>
      <c r="C211" s="71">
        <v>10327.120000000001</v>
      </c>
      <c r="D211" s="71">
        <v>0</v>
      </c>
    </row>
    <row r="212" spans="1:4" x14ac:dyDescent="0.3">
      <c r="A212" s="69" t="s">
        <v>1322</v>
      </c>
      <c r="B212" s="70" t="s">
        <v>1323</v>
      </c>
      <c r="C212" s="71">
        <v>0</v>
      </c>
      <c r="D212" s="71">
        <v>0</v>
      </c>
    </row>
    <row r="213" spans="1:4" x14ac:dyDescent="0.3">
      <c r="A213" s="69" t="s">
        <v>819</v>
      </c>
      <c r="B213" s="70" t="s">
        <v>820</v>
      </c>
      <c r="C213" s="71">
        <v>38000</v>
      </c>
      <c r="D213" s="71">
        <v>0</v>
      </c>
    </row>
    <row r="214" spans="1:4" x14ac:dyDescent="0.3">
      <c r="A214" s="69" t="s">
        <v>1324</v>
      </c>
      <c r="B214" s="70" t="s">
        <v>1325</v>
      </c>
      <c r="C214" s="71">
        <v>0</v>
      </c>
      <c r="D214" s="71">
        <v>0</v>
      </c>
    </row>
    <row r="215" spans="1:4" x14ac:dyDescent="0.3">
      <c r="A215" s="69" t="s">
        <v>821</v>
      </c>
      <c r="B215" s="70" t="s">
        <v>822</v>
      </c>
      <c r="C215" s="71">
        <v>30128.79</v>
      </c>
      <c r="D215" s="71">
        <v>0</v>
      </c>
    </row>
    <row r="216" spans="1:4" x14ac:dyDescent="0.3">
      <c r="A216" s="69" t="s">
        <v>1326</v>
      </c>
      <c r="B216" s="70" t="s">
        <v>1327</v>
      </c>
      <c r="C216" s="71">
        <v>0</v>
      </c>
      <c r="D216" s="71">
        <v>0</v>
      </c>
    </row>
    <row r="217" spans="1:4" x14ac:dyDescent="0.3">
      <c r="A217" s="69" t="s">
        <v>1328</v>
      </c>
      <c r="B217" s="70" t="s">
        <v>1329</v>
      </c>
      <c r="C217" s="71">
        <v>0</v>
      </c>
      <c r="D217" s="71">
        <v>0</v>
      </c>
    </row>
    <row r="218" spans="1:4" x14ac:dyDescent="0.3">
      <c r="A218" s="69" t="s">
        <v>1330</v>
      </c>
      <c r="B218" s="70" t="s">
        <v>1331</v>
      </c>
      <c r="C218" s="71">
        <v>0</v>
      </c>
      <c r="D218" s="71">
        <v>0</v>
      </c>
    </row>
    <row r="219" spans="1:4" x14ac:dyDescent="0.3">
      <c r="A219" s="69" t="s">
        <v>1332</v>
      </c>
      <c r="B219" s="70" t="s">
        <v>1333</v>
      </c>
      <c r="C219" s="71">
        <v>550.08000000000004</v>
      </c>
      <c r="D219" s="71">
        <v>0</v>
      </c>
    </row>
    <row r="220" spans="1:4" x14ac:dyDescent="0.3">
      <c r="A220" s="69" t="s">
        <v>823</v>
      </c>
      <c r="B220" s="70" t="s">
        <v>824</v>
      </c>
      <c r="C220" s="71">
        <v>0</v>
      </c>
      <c r="D220" s="71">
        <v>390.3</v>
      </c>
    </row>
    <row r="221" spans="1:4" x14ac:dyDescent="0.3">
      <c r="A221" s="69" t="s">
        <v>825</v>
      </c>
      <c r="B221" s="70" t="s">
        <v>826</v>
      </c>
      <c r="C221" s="71">
        <v>18195.84</v>
      </c>
      <c r="D221" s="71">
        <v>0</v>
      </c>
    </row>
    <row r="222" spans="1:4" x14ac:dyDescent="0.3">
      <c r="A222" s="69" t="s">
        <v>827</v>
      </c>
      <c r="B222" s="70" t="s">
        <v>585</v>
      </c>
      <c r="C222" s="71">
        <v>1880.18</v>
      </c>
      <c r="D222" s="71">
        <v>0</v>
      </c>
    </row>
    <row r="223" spans="1:4" x14ac:dyDescent="0.3">
      <c r="A223" s="69" t="s">
        <v>1334</v>
      </c>
      <c r="B223" s="70" t="s">
        <v>1335</v>
      </c>
      <c r="C223" s="71">
        <v>0</v>
      </c>
      <c r="D223" s="71">
        <v>0</v>
      </c>
    </row>
    <row r="224" spans="1:4" x14ac:dyDescent="0.3">
      <c r="A224" s="69" t="s">
        <v>828</v>
      </c>
      <c r="B224" s="70" t="s">
        <v>829</v>
      </c>
      <c r="C224" s="71">
        <v>5203.12</v>
      </c>
      <c r="D224" s="71">
        <v>0</v>
      </c>
    </row>
    <row r="225" spans="1:4" x14ac:dyDescent="0.3">
      <c r="A225" s="69" t="s">
        <v>1336</v>
      </c>
      <c r="B225" s="70" t="s">
        <v>1337</v>
      </c>
      <c r="C225" s="71">
        <v>0</v>
      </c>
      <c r="D225" s="71">
        <v>0</v>
      </c>
    </row>
    <row r="226" spans="1:4" x14ac:dyDescent="0.3">
      <c r="A226" s="69" t="s">
        <v>1338</v>
      </c>
      <c r="B226" s="70" t="s">
        <v>1339</v>
      </c>
      <c r="C226" s="71">
        <v>0</v>
      </c>
      <c r="D226" s="71">
        <v>0</v>
      </c>
    </row>
    <row r="227" spans="1:4" x14ac:dyDescent="0.3">
      <c r="A227" s="69" t="s">
        <v>1340</v>
      </c>
      <c r="B227" s="70" t="s">
        <v>1341</v>
      </c>
      <c r="C227" s="71">
        <v>0</v>
      </c>
      <c r="D227" s="71">
        <v>0</v>
      </c>
    </row>
    <row r="228" spans="1:4" x14ac:dyDescent="0.3">
      <c r="A228" s="69" t="s">
        <v>830</v>
      </c>
      <c r="B228" s="70" t="s">
        <v>831</v>
      </c>
      <c r="C228" s="71">
        <v>2381.4499999999998</v>
      </c>
      <c r="D228" s="71">
        <v>0</v>
      </c>
    </row>
    <row r="229" spans="1:4" x14ac:dyDescent="0.3">
      <c r="A229" s="69" t="s">
        <v>832</v>
      </c>
      <c r="B229" s="70" t="s">
        <v>833</v>
      </c>
      <c r="C229" s="71">
        <v>2707.54</v>
      </c>
      <c r="D229" s="71">
        <v>0</v>
      </c>
    </row>
    <row r="230" spans="1:4" x14ac:dyDescent="0.3">
      <c r="A230" s="69" t="s">
        <v>834</v>
      </c>
      <c r="B230" s="70" t="s">
        <v>835</v>
      </c>
      <c r="C230" s="71">
        <v>1351.68</v>
      </c>
      <c r="D230" s="71">
        <v>0</v>
      </c>
    </row>
    <row r="231" spans="1:4" x14ac:dyDescent="0.3">
      <c r="A231" s="69" t="s">
        <v>836</v>
      </c>
      <c r="B231" s="70" t="s">
        <v>837</v>
      </c>
      <c r="C231" s="71">
        <v>6147.23</v>
      </c>
      <c r="D231" s="71">
        <v>0</v>
      </c>
    </row>
    <row r="232" spans="1:4" x14ac:dyDescent="0.3">
      <c r="A232" s="69" t="s">
        <v>1342</v>
      </c>
      <c r="B232" s="70" t="s">
        <v>1343</v>
      </c>
      <c r="C232" s="71">
        <v>0</v>
      </c>
      <c r="D232" s="71">
        <v>0</v>
      </c>
    </row>
    <row r="233" spans="1:4" x14ac:dyDescent="0.3">
      <c r="A233" s="69" t="s">
        <v>1344</v>
      </c>
      <c r="B233" s="70" t="s">
        <v>1345</v>
      </c>
      <c r="C233" s="71">
        <v>0</v>
      </c>
      <c r="D233" s="71">
        <v>0</v>
      </c>
    </row>
    <row r="234" spans="1:4" x14ac:dyDescent="0.3">
      <c r="A234" s="69" t="s">
        <v>838</v>
      </c>
      <c r="B234" s="70" t="s">
        <v>839</v>
      </c>
      <c r="C234" s="71">
        <v>0</v>
      </c>
      <c r="D234" s="71">
        <v>0</v>
      </c>
    </row>
    <row r="235" spans="1:4" x14ac:dyDescent="0.3">
      <c r="A235" s="69" t="s">
        <v>840</v>
      </c>
      <c r="B235" s="70" t="s">
        <v>841</v>
      </c>
      <c r="C235" s="71">
        <v>2670.4</v>
      </c>
      <c r="D235" s="71">
        <v>0</v>
      </c>
    </row>
    <row r="236" spans="1:4" x14ac:dyDescent="0.3">
      <c r="A236" s="69" t="s">
        <v>1346</v>
      </c>
      <c r="B236" s="70" t="s">
        <v>1347</v>
      </c>
      <c r="C236" s="71">
        <v>0</v>
      </c>
      <c r="D236" s="71">
        <v>0</v>
      </c>
    </row>
    <row r="237" spans="1:4" x14ac:dyDescent="0.3">
      <c r="A237" s="69" t="s">
        <v>1348</v>
      </c>
      <c r="B237" s="70" t="s">
        <v>1349</v>
      </c>
      <c r="C237" s="71">
        <v>0</v>
      </c>
      <c r="D237" s="71">
        <v>0</v>
      </c>
    </row>
    <row r="238" spans="1:4" x14ac:dyDescent="0.3">
      <c r="A238" s="69" t="s">
        <v>842</v>
      </c>
      <c r="B238" s="70" t="s">
        <v>601</v>
      </c>
      <c r="C238" s="71">
        <v>973.02</v>
      </c>
      <c r="D238" s="71">
        <v>0</v>
      </c>
    </row>
    <row r="239" spans="1:4" x14ac:dyDescent="0.3">
      <c r="A239" s="69" t="s">
        <v>843</v>
      </c>
      <c r="B239" s="70" t="s">
        <v>844</v>
      </c>
      <c r="C239" s="71">
        <v>4054.02</v>
      </c>
      <c r="D239" s="71">
        <v>0</v>
      </c>
    </row>
    <row r="240" spans="1:4" x14ac:dyDescent="0.3">
      <c r="A240" s="69" t="s">
        <v>1350</v>
      </c>
      <c r="B240" s="70" t="s">
        <v>1351</v>
      </c>
      <c r="C240" s="71">
        <v>176372.9</v>
      </c>
      <c r="D240" s="71">
        <v>0</v>
      </c>
    </row>
    <row r="241" spans="1:4" x14ac:dyDescent="0.3">
      <c r="A241" s="69" t="s">
        <v>1352</v>
      </c>
      <c r="B241" s="70" t="s">
        <v>1099</v>
      </c>
      <c r="C241" s="71">
        <v>0</v>
      </c>
      <c r="D241" s="71">
        <v>0</v>
      </c>
    </row>
    <row r="242" spans="1:4" x14ac:dyDescent="0.3">
      <c r="A242" s="69" t="s">
        <v>1353</v>
      </c>
      <c r="B242" s="70" t="s">
        <v>1354</v>
      </c>
      <c r="C242" s="71">
        <v>0</v>
      </c>
      <c r="D242" s="71">
        <v>0</v>
      </c>
    </row>
    <row r="243" spans="1:4" x14ac:dyDescent="0.3">
      <c r="A243" s="69" t="s">
        <v>845</v>
      </c>
      <c r="B243" s="70" t="s">
        <v>846</v>
      </c>
      <c r="C243" s="71">
        <v>212</v>
      </c>
      <c r="D243" s="71">
        <v>0</v>
      </c>
    </row>
    <row r="244" spans="1:4" x14ac:dyDescent="0.3">
      <c r="A244" s="69" t="s">
        <v>847</v>
      </c>
      <c r="B244" s="70" t="s">
        <v>848</v>
      </c>
      <c r="C244" s="71">
        <v>2827.53</v>
      </c>
      <c r="D244" s="71">
        <v>0</v>
      </c>
    </row>
    <row r="245" spans="1:4" x14ac:dyDescent="0.3">
      <c r="A245" s="69" t="s">
        <v>849</v>
      </c>
      <c r="B245" s="70" t="s">
        <v>850</v>
      </c>
      <c r="C245" s="71">
        <v>11088.93</v>
      </c>
      <c r="D245" s="71">
        <v>0</v>
      </c>
    </row>
    <row r="246" spans="1:4" x14ac:dyDescent="0.3">
      <c r="A246" s="69" t="s">
        <v>851</v>
      </c>
      <c r="B246" s="70" t="s">
        <v>852</v>
      </c>
      <c r="C246" s="71">
        <v>3760.74</v>
      </c>
      <c r="D246" s="71">
        <v>0</v>
      </c>
    </row>
    <row r="247" spans="1:4" x14ac:dyDescent="0.3">
      <c r="A247" s="69" t="s">
        <v>1355</v>
      </c>
      <c r="B247" s="70" t="s">
        <v>1356</v>
      </c>
      <c r="C247" s="71">
        <v>6782.87</v>
      </c>
      <c r="D247" s="71">
        <v>0</v>
      </c>
    </row>
    <row r="248" spans="1:4" x14ac:dyDescent="0.3">
      <c r="A248" s="69" t="s">
        <v>853</v>
      </c>
      <c r="B248" s="70" t="s">
        <v>854</v>
      </c>
      <c r="C248" s="71">
        <v>2291.87</v>
      </c>
      <c r="D248" s="71">
        <v>0</v>
      </c>
    </row>
    <row r="249" spans="1:4" x14ac:dyDescent="0.3">
      <c r="A249" s="69" t="s">
        <v>855</v>
      </c>
      <c r="B249" s="70" t="s">
        <v>856</v>
      </c>
      <c r="C249" s="71">
        <v>296.24</v>
      </c>
      <c r="D249" s="71">
        <v>0</v>
      </c>
    </row>
    <row r="250" spans="1:4" x14ac:dyDescent="0.3">
      <c r="A250" s="69" t="s">
        <v>857</v>
      </c>
      <c r="B250" s="70" t="s">
        <v>858</v>
      </c>
      <c r="C250" s="71">
        <v>11132</v>
      </c>
      <c r="D250" s="71">
        <v>0</v>
      </c>
    </row>
    <row r="251" spans="1:4" x14ac:dyDescent="0.3">
      <c r="A251" s="69" t="s">
        <v>859</v>
      </c>
      <c r="B251" s="70" t="s">
        <v>860</v>
      </c>
      <c r="C251" s="71">
        <v>1490.6</v>
      </c>
      <c r="D251" s="71">
        <v>0</v>
      </c>
    </row>
    <row r="252" spans="1:4" x14ac:dyDescent="0.3">
      <c r="A252" s="69" t="s">
        <v>861</v>
      </c>
      <c r="B252" s="70" t="s">
        <v>862</v>
      </c>
      <c r="C252" s="71">
        <v>1625</v>
      </c>
      <c r="D252" s="71">
        <v>0</v>
      </c>
    </row>
    <row r="253" spans="1:4" x14ac:dyDescent="0.3">
      <c r="A253" s="69" t="s">
        <v>863</v>
      </c>
      <c r="B253" s="70" t="s">
        <v>615</v>
      </c>
      <c r="C253" s="71">
        <v>438.08</v>
      </c>
      <c r="D253" s="71">
        <v>0</v>
      </c>
    </row>
    <row r="254" spans="1:4" x14ac:dyDescent="0.3">
      <c r="A254" s="69" t="s">
        <v>864</v>
      </c>
      <c r="B254" s="70" t="s">
        <v>865</v>
      </c>
      <c r="C254" s="71">
        <v>2005.78</v>
      </c>
      <c r="D254" s="71">
        <v>0</v>
      </c>
    </row>
    <row r="255" spans="1:4" x14ac:dyDescent="0.3">
      <c r="A255" s="69" t="s">
        <v>866</v>
      </c>
      <c r="B255" s="70" t="s">
        <v>617</v>
      </c>
      <c r="C255" s="71">
        <v>2743.88</v>
      </c>
      <c r="D255" s="71">
        <v>0</v>
      </c>
    </row>
    <row r="256" spans="1:4" x14ac:dyDescent="0.3">
      <c r="A256" s="69" t="s">
        <v>1357</v>
      </c>
      <c r="B256" s="70" t="s">
        <v>1358</v>
      </c>
      <c r="C256" s="71">
        <v>0</v>
      </c>
      <c r="D256" s="71">
        <v>0</v>
      </c>
    </row>
    <row r="257" spans="1:4" x14ac:dyDescent="0.3">
      <c r="A257" s="69" t="s">
        <v>867</v>
      </c>
      <c r="B257" s="70" t="s">
        <v>597</v>
      </c>
      <c r="C257" s="71">
        <v>644.62</v>
      </c>
      <c r="D257" s="71">
        <v>0</v>
      </c>
    </row>
    <row r="258" spans="1:4" x14ac:dyDescent="0.3">
      <c r="A258" s="69" t="s">
        <v>868</v>
      </c>
      <c r="B258" s="70" t="s">
        <v>869</v>
      </c>
      <c r="C258" s="71">
        <v>5350.17</v>
      </c>
      <c r="D258" s="71">
        <v>0</v>
      </c>
    </row>
    <row r="259" spans="1:4" x14ac:dyDescent="0.3">
      <c r="A259" s="69" t="s">
        <v>870</v>
      </c>
      <c r="B259" s="70" t="s">
        <v>871</v>
      </c>
      <c r="C259" s="71">
        <v>3158.91</v>
      </c>
      <c r="D259" s="71">
        <v>0</v>
      </c>
    </row>
    <row r="260" spans="1:4" x14ac:dyDescent="0.3">
      <c r="A260" s="69" t="s">
        <v>1121</v>
      </c>
      <c r="B260" s="70" t="s">
        <v>1120</v>
      </c>
      <c r="C260" s="71">
        <v>303.60000000000002</v>
      </c>
      <c r="D260" s="71">
        <v>0</v>
      </c>
    </row>
    <row r="261" spans="1:4" x14ac:dyDescent="0.3">
      <c r="A261" s="69" t="s">
        <v>872</v>
      </c>
      <c r="B261" s="70" t="s">
        <v>873</v>
      </c>
      <c r="C261" s="71">
        <v>2723.57</v>
      </c>
      <c r="D261" s="71">
        <v>0</v>
      </c>
    </row>
    <row r="262" spans="1:4" x14ac:dyDescent="0.3">
      <c r="A262" s="69" t="s">
        <v>874</v>
      </c>
      <c r="B262" s="70" t="s">
        <v>875</v>
      </c>
      <c r="C262" s="71">
        <v>15780.16</v>
      </c>
      <c r="D262" s="71">
        <v>0</v>
      </c>
    </row>
    <row r="263" spans="1:4" x14ac:dyDescent="0.3">
      <c r="A263" s="69" t="s">
        <v>1359</v>
      </c>
      <c r="B263" s="70" t="s">
        <v>1360</v>
      </c>
      <c r="C263" s="71">
        <v>0</v>
      </c>
      <c r="D263" s="71">
        <v>0</v>
      </c>
    </row>
    <row r="264" spans="1:4" x14ac:dyDescent="0.3">
      <c r="A264" s="69" t="s">
        <v>876</v>
      </c>
      <c r="B264" s="70" t="s">
        <v>877</v>
      </c>
      <c r="C264" s="71">
        <v>6694.09</v>
      </c>
      <c r="D264" s="71">
        <v>0</v>
      </c>
    </row>
    <row r="265" spans="1:4" x14ac:dyDescent="0.3">
      <c r="A265" s="69" t="s">
        <v>1361</v>
      </c>
      <c r="B265" s="70" t="s">
        <v>1362</v>
      </c>
      <c r="C265" s="71">
        <v>0</v>
      </c>
      <c r="D265" s="71">
        <v>0</v>
      </c>
    </row>
    <row r="266" spans="1:4" x14ac:dyDescent="0.3">
      <c r="A266" s="69" t="s">
        <v>878</v>
      </c>
      <c r="B266" s="70" t="s">
        <v>627</v>
      </c>
      <c r="C266" s="71">
        <v>2405.9899999999998</v>
      </c>
      <c r="D266" s="71">
        <v>0</v>
      </c>
    </row>
    <row r="267" spans="1:4" x14ac:dyDescent="0.3">
      <c r="A267" s="69" t="s">
        <v>879</v>
      </c>
      <c r="B267" s="70" t="s">
        <v>880</v>
      </c>
      <c r="C267" s="71">
        <v>443.12</v>
      </c>
      <c r="D267" s="71">
        <v>0</v>
      </c>
    </row>
    <row r="268" spans="1:4" x14ac:dyDescent="0.3">
      <c r="A268" s="69" t="s">
        <v>1363</v>
      </c>
      <c r="B268" s="70" t="s">
        <v>1364</v>
      </c>
      <c r="C268" s="71">
        <v>0</v>
      </c>
      <c r="D268" s="71">
        <v>0</v>
      </c>
    </row>
    <row r="269" spans="1:4" x14ac:dyDescent="0.3">
      <c r="A269" s="69" t="s">
        <v>1365</v>
      </c>
      <c r="B269" s="70" t="s">
        <v>1366</v>
      </c>
      <c r="C269" s="71">
        <v>0</v>
      </c>
      <c r="D269" s="71">
        <v>0</v>
      </c>
    </row>
    <row r="270" spans="1:4" x14ac:dyDescent="0.3">
      <c r="A270" s="69" t="s">
        <v>1367</v>
      </c>
      <c r="B270" s="70" t="s">
        <v>1368</v>
      </c>
      <c r="C270" s="71">
        <v>0</v>
      </c>
      <c r="D270" s="71">
        <v>0</v>
      </c>
    </row>
    <row r="271" spans="1:4" x14ac:dyDescent="0.3">
      <c r="A271" s="69" t="s">
        <v>881</v>
      </c>
      <c r="B271" s="70" t="s">
        <v>882</v>
      </c>
      <c r="C271" s="71">
        <v>0</v>
      </c>
      <c r="D271" s="71">
        <v>0</v>
      </c>
    </row>
    <row r="272" spans="1:4" x14ac:dyDescent="0.3">
      <c r="A272" s="69" t="s">
        <v>883</v>
      </c>
      <c r="B272" s="70" t="s">
        <v>884</v>
      </c>
      <c r="C272" s="71">
        <v>19.239999999999998</v>
      </c>
      <c r="D272" s="71">
        <v>0</v>
      </c>
    </row>
    <row r="273" spans="1:4" x14ac:dyDescent="0.3">
      <c r="A273" s="69" t="s">
        <v>1369</v>
      </c>
      <c r="B273" s="70" t="s">
        <v>1370</v>
      </c>
      <c r="C273" s="71">
        <v>0</v>
      </c>
      <c r="D273" s="71">
        <v>0</v>
      </c>
    </row>
    <row r="274" spans="1:4" x14ac:dyDescent="0.3">
      <c r="A274" s="69" t="s">
        <v>1371</v>
      </c>
      <c r="B274" s="70" t="s">
        <v>1372</v>
      </c>
      <c r="C274" s="71">
        <v>0</v>
      </c>
      <c r="D274" s="71">
        <v>0</v>
      </c>
    </row>
    <row r="275" spans="1:4" x14ac:dyDescent="0.3">
      <c r="A275" s="69" t="s">
        <v>885</v>
      </c>
      <c r="B275" s="70" t="s">
        <v>886</v>
      </c>
      <c r="C275" s="71">
        <v>0</v>
      </c>
      <c r="D275" s="71">
        <v>0</v>
      </c>
    </row>
    <row r="276" spans="1:4" x14ac:dyDescent="0.3">
      <c r="A276" s="69" t="s">
        <v>1373</v>
      </c>
      <c r="B276" s="70" t="s">
        <v>1374</v>
      </c>
      <c r="C276" s="71">
        <v>0</v>
      </c>
      <c r="D276" s="71">
        <v>0</v>
      </c>
    </row>
    <row r="277" spans="1:4" x14ac:dyDescent="0.3">
      <c r="A277" s="69" t="s">
        <v>1375</v>
      </c>
      <c r="B277" s="70" t="s">
        <v>1376</v>
      </c>
      <c r="C277" s="71">
        <v>0</v>
      </c>
      <c r="D277" s="71">
        <v>0</v>
      </c>
    </row>
    <row r="278" spans="1:4" x14ac:dyDescent="0.3">
      <c r="A278" s="69" t="s">
        <v>887</v>
      </c>
      <c r="B278" s="70" t="s">
        <v>888</v>
      </c>
      <c r="C278" s="71">
        <v>130080.23</v>
      </c>
      <c r="D278" s="71">
        <v>0</v>
      </c>
    </row>
    <row r="279" spans="1:4" x14ac:dyDescent="0.3">
      <c r="A279" s="69" t="s">
        <v>1377</v>
      </c>
      <c r="B279" s="70" t="s">
        <v>1083</v>
      </c>
      <c r="C279" s="71">
        <v>1657.37</v>
      </c>
      <c r="D279" s="71">
        <v>0</v>
      </c>
    </row>
    <row r="280" spans="1:4" x14ac:dyDescent="0.3">
      <c r="A280" s="69" t="s">
        <v>1378</v>
      </c>
      <c r="B280" s="70" t="s">
        <v>1085</v>
      </c>
      <c r="C280" s="71">
        <v>1055</v>
      </c>
      <c r="D280" s="71">
        <v>0</v>
      </c>
    </row>
    <row r="281" spans="1:4" x14ac:dyDescent="0.3">
      <c r="A281" s="69" t="s">
        <v>1379</v>
      </c>
      <c r="B281" s="70" t="s">
        <v>1380</v>
      </c>
      <c r="C281" s="71">
        <v>0</v>
      </c>
      <c r="D281" s="71">
        <v>0</v>
      </c>
    </row>
    <row r="282" spans="1:4" x14ac:dyDescent="0.3">
      <c r="A282" s="69" t="s">
        <v>1381</v>
      </c>
      <c r="B282" s="70" t="s">
        <v>1382</v>
      </c>
      <c r="C282" s="71">
        <v>0</v>
      </c>
      <c r="D282" s="71">
        <v>0</v>
      </c>
    </row>
    <row r="283" spans="1:4" x14ac:dyDescent="0.3">
      <c r="A283" s="69" t="s">
        <v>889</v>
      </c>
      <c r="B283" s="70" t="s">
        <v>890</v>
      </c>
      <c r="C283" s="71">
        <v>0</v>
      </c>
      <c r="D283" s="71">
        <v>520.64</v>
      </c>
    </row>
    <row r="284" spans="1:4" x14ac:dyDescent="0.3">
      <c r="A284" s="69" t="s">
        <v>1383</v>
      </c>
      <c r="B284" s="70" t="s">
        <v>1384</v>
      </c>
      <c r="C284" s="71">
        <v>0</v>
      </c>
      <c r="D284" s="71">
        <v>0</v>
      </c>
    </row>
    <row r="285" spans="1:4" x14ac:dyDescent="0.3">
      <c r="A285" s="69" t="s">
        <v>1385</v>
      </c>
      <c r="B285" s="70" t="s">
        <v>1386</v>
      </c>
      <c r="C285" s="71">
        <v>0</v>
      </c>
      <c r="D285" s="71">
        <v>0</v>
      </c>
    </row>
    <row r="286" spans="1:4" x14ac:dyDescent="0.3">
      <c r="A286" s="69" t="s">
        <v>1387</v>
      </c>
      <c r="B286" s="70" t="s">
        <v>1388</v>
      </c>
      <c r="C286" s="71">
        <v>0</v>
      </c>
      <c r="D286" s="71">
        <v>0</v>
      </c>
    </row>
    <row r="287" spans="1:4" x14ac:dyDescent="0.3">
      <c r="A287" s="69" t="s">
        <v>1389</v>
      </c>
      <c r="B287" s="70" t="s">
        <v>1390</v>
      </c>
      <c r="C287" s="71">
        <v>0</v>
      </c>
      <c r="D287" s="71">
        <v>0</v>
      </c>
    </row>
    <row r="288" spans="1:4" x14ac:dyDescent="0.3">
      <c r="A288" s="69" t="s">
        <v>1391</v>
      </c>
      <c r="B288" s="70" t="s">
        <v>1140</v>
      </c>
      <c r="C288" s="71">
        <v>29348.080000000002</v>
      </c>
      <c r="D288" s="71">
        <v>0</v>
      </c>
    </row>
    <row r="289" spans="1:4" x14ac:dyDescent="0.3">
      <c r="A289" s="69" t="s">
        <v>891</v>
      </c>
      <c r="B289" s="70" t="s">
        <v>892</v>
      </c>
      <c r="C289" s="71">
        <v>0</v>
      </c>
      <c r="D289" s="71">
        <v>0</v>
      </c>
    </row>
    <row r="290" spans="1:4" x14ac:dyDescent="0.3">
      <c r="A290" s="69" t="s">
        <v>893</v>
      </c>
      <c r="B290" s="70" t="s">
        <v>894</v>
      </c>
      <c r="C290" s="71">
        <v>6590.17</v>
      </c>
      <c r="D290" s="71">
        <v>0</v>
      </c>
    </row>
    <row r="291" spans="1:4" x14ac:dyDescent="0.3">
      <c r="A291" s="69" t="s">
        <v>1392</v>
      </c>
      <c r="B291" s="70" t="s">
        <v>1335</v>
      </c>
      <c r="C291" s="71">
        <v>0</v>
      </c>
      <c r="D291" s="71">
        <v>0</v>
      </c>
    </row>
    <row r="292" spans="1:4" x14ac:dyDescent="0.3">
      <c r="A292" s="69" t="s">
        <v>1393</v>
      </c>
      <c r="B292" s="70" t="s">
        <v>1394</v>
      </c>
      <c r="C292" s="71">
        <v>0</v>
      </c>
      <c r="D292" s="71">
        <v>0</v>
      </c>
    </row>
    <row r="293" spans="1:4" x14ac:dyDescent="0.3">
      <c r="A293" s="69" t="s">
        <v>1395</v>
      </c>
      <c r="B293" s="70" t="s">
        <v>1396</v>
      </c>
      <c r="C293" s="71">
        <v>0</v>
      </c>
      <c r="D293" s="71">
        <v>0</v>
      </c>
    </row>
    <row r="294" spans="1:4" x14ac:dyDescent="0.3">
      <c r="A294" s="69" t="s">
        <v>1397</v>
      </c>
      <c r="B294" s="70" t="s">
        <v>1398</v>
      </c>
      <c r="C294" s="71">
        <v>0</v>
      </c>
      <c r="D294" s="71">
        <v>0</v>
      </c>
    </row>
    <row r="295" spans="1:4" x14ac:dyDescent="0.3">
      <c r="A295" s="69" t="s">
        <v>1123</v>
      </c>
      <c r="B295" s="70" t="s">
        <v>1399</v>
      </c>
      <c r="C295" s="71">
        <v>0</v>
      </c>
      <c r="D295" s="71">
        <v>0</v>
      </c>
    </row>
    <row r="296" spans="1:4" x14ac:dyDescent="0.3">
      <c r="A296" s="69" t="s">
        <v>630</v>
      </c>
      <c r="B296" s="70" t="s">
        <v>1400</v>
      </c>
      <c r="C296" s="71">
        <v>0</v>
      </c>
      <c r="D296" s="71">
        <v>0</v>
      </c>
    </row>
    <row r="297" spans="1:4" x14ac:dyDescent="0.3">
      <c r="A297" s="69" t="s">
        <v>895</v>
      </c>
      <c r="B297" s="70" t="s">
        <v>896</v>
      </c>
      <c r="C297" s="71">
        <v>521.70000000000005</v>
      </c>
      <c r="D297" s="71">
        <v>0</v>
      </c>
    </row>
    <row r="298" spans="1:4" x14ac:dyDescent="0.3">
      <c r="A298" s="69" t="s">
        <v>897</v>
      </c>
      <c r="B298" s="70" t="s">
        <v>898</v>
      </c>
      <c r="C298" s="71">
        <v>385</v>
      </c>
      <c r="D298" s="71">
        <v>0</v>
      </c>
    </row>
    <row r="299" spans="1:4" x14ac:dyDescent="0.3">
      <c r="A299" s="69" t="s">
        <v>899</v>
      </c>
      <c r="B299" s="70" t="s">
        <v>900</v>
      </c>
      <c r="C299" s="71">
        <v>3760.77</v>
      </c>
      <c r="D299" s="71">
        <v>0</v>
      </c>
    </row>
    <row r="300" spans="1:4" x14ac:dyDescent="0.3">
      <c r="A300" s="69" t="s">
        <v>1401</v>
      </c>
      <c r="B300" s="70" t="s">
        <v>1402</v>
      </c>
      <c r="C300" s="71">
        <v>0</v>
      </c>
      <c r="D300" s="71">
        <v>0</v>
      </c>
    </row>
    <row r="301" spans="1:4" x14ac:dyDescent="0.3">
      <c r="A301" s="69" t="s">
        <v>1125</v>
      </c>
      <c r="B301" s="70" t="s">
        <v>1403</v>
      </c>
      <c r="C301" s="71">
        <v>0</v>
      </c>
      <c r="D301" s="71">
        <v>0</v>
      </c>
    </row>
    <row r="302" spans="1:4" x14ac:dyDescent="0.3">
      <c r="A302" s="69" t="s">
        <v>1404</v>
      </c>
      <c r="B302" s="70" t="s">
        <v>1405</v>
      </c>
      <c r="C302" s="71">
        <v>0</v>
      </c>
      <c r="D302" s="71">
        <v>0</v>
      </c>
    </row>
    <row r="303" spans="1:4" x14ac:dyDescent="0.3">
      <c r="A303" s="69" t="s">
        <v>901</v>
      </c>
      <c r="B303" s="70" t="s">
        <v>902</v>
      </c>
      <c r="C303" s="71">
        <v>2467.5</v>
      </c>
      <c r="D303" s="71">
        <v>0</v>
      </c>
    </row>
    <row r="304" spans="1:4" x14ac:dyDescent="0.3">
      <c r="A304" s="69" t="s">
        <v>903</v>
      </c>
      <c r="B304" s="70" t="s">
        <v>904</v>
      </c>
      <c r="C304" s="71">
        <v>646.44000000000005</v>
      </c>
      <c r="D304" s="71">
        <v>0</v>
      </c>
    </row>
    <row r="305" spans="1:4" x14ac:dyDescent="0.3">
      <c r="A305" s="69" t="s">
        <v>905</v>
      </c>
      <c r="B305" s="70" t="s">
        <v>906</v>
      </c>
      <c r="C305" s="71">
        <v>678</v>
      </c>
      <c r="D305" s="71">
        <v>0</v>
      </c>
    </row>
    <row r="306" spans="1:4" x14ac:dyDescent="0.3">
      <c r="A306" s="69" t="s">
        <v>1127</v>
      </c>
      <c r="B306" s="70" t="s">
        <v>1406</v>
      </c>
      <c r="C306" s="71">
        <v>0</v>
      </c>
      <c r="D306" s="71">
        <v>0</v>
      </c>
    </row>
    <row r="307" spans="1:4" x14ac:dyDescent="0.3">
      <c r="A307" s="69" t="s">
        <v>907</v>
      </c>
      <c r="B307" s="70" t="s">
        <v>908</v>
      </c>
      <c r="C307" s="71">
        <v>3714.68</v>
      </c>
      <c r="D307" s="71">
        <v>0</v>
      </c>
    </row>
    <row r="308" spans="1:4" x14ac:dyDescent="0.3">
      <c r="A308" s="69" t="s">
        <v>909</v>
      </c>
      <c r="B308" s="70" t="s">
        <v>910</v>
      </c>
      <c r="C308" s="71">
        <v>0</v>
      </c>
      <c r="D308" s="71">
        <v>10327.120000000001</v>
      </c>
    </row>
    <row r="309" spans="1:4" x14ac:dyDescent="0.3">
      <c r="A309" s="69" t="s">
        <v>1407</v>
      </c>
      <c r="B309" s="70" t="s">
        <v>1408</v>
      </c>
      <c r="C309" s="71">
        <v>0</v>
      </c>
      <c r="D309" s="71">
        <v>0</v>
      </c>
    </row>
    <row r="310" spans="1:4" x14ac:dyDescent="0.3">
      <c r="A310" s="69" t="s">
        <v>1409</v>
      </c>
      <c r="B310" s="70" t="s">
        <v>1410</v>
      </c>
      <c r="C310" s="71">
        <v>0</v>
      </c>
      <c r="D310" s="71">
        <v>0</v>
      </c>
    </row>
    <row r="311" spans="1:4" x14ac:dyDescent="0.3">
      <c r="A311" s="69" t="s">
        <v>1411</v>
      </c>
      <c r="B311" s="70" t="s">
        <v>1412</v>
      </c>
      <c r="C311" s="71">
        <v>0</v>
      </c>
      <c r="D311" s="71">
        <v>0</v>
      </c>
    </row>
    <row r="312" spans="1:4" x14ac:dyDescent="0.3">
      <c r="A312" s="69" t="s">
        <v>1413</v>
      </c>
      <c r="B312" s="70" t="s">
        <v>1414</v>
      </c>
      <c r="C312" s="71">
        <v>0</v>
      </c>
      <c r="D312" s="71">
        <v>0</v>
      </c>
    </row>
    <row r="313" spans="1:4" x14ac:dyDescent="0.3">
      <c r="A313" s="69" t="s">
        <v>911</v>
      </c>
      <c r="B313" s="70" t="s">
        <v>912</v>
      </c>
      <c r="C313" s="71">
        <v>465</v>
      </c>
      <c r="D313" s="71">
        <v>0</v>
      </c>
    </row>
    <row r="314" spans="1:4" x14ac:dyDescent="0.3">
      <c r="A314" s="69" t="s">
        <v>913</v>
      </c>
      <c r="B314" s="70" t="s">
        <v>914</v>
      </c>
      <c r="C314" s="71">
        <v>5067.29</v>
      </c>
      <c r="D314" s="71">
        <v>0</v>
      </c>
    </row>
    <row r="315" spans="1:4" x14ac:dyDescent="0.3">
      <c r="A315" s="69" t="s">
        <v>915</v>
      </c>
      <c r="B315" s="70" t="s">
        <v>916</v>
      </c>
      <c r="C315" s="71">
        <v>3368.51</v>
      </c>
      <c r="D315" s="71">
        <v>0</v>
      </c>
    </row>
    <row r="316" spans="1:4" x14ac:dyDescent="0.3">
      <c r="A316" s="69" t="s">
        <v>917</v>
      </c>
      <c r="B316" s="70" t="s">
        <v>918</v>
      </c>
      <c r="C316" s="71">
        <v>0</v>
      </c>
      <c r="D316" s="71">
        <v>0</v>
      </c>
    </row>
    <row r="317" spans="1:4" x14ac:dyDescent="0.3">
      <c r="A317" s="69" t="s">
        <v>919</v>
      </c>
      <c r="B317" s="70" t="s">
        <v>920</v>
      </c>
      <c r="C317" s="71">
        <v>1621.9</v>
      </c>
      <c r="D317" s="71">
        <v>0</v>
      </c>
    </row>
    <row r="318" spans="1:4" x14ac:dyDescent="0.3">
      <c r="A318" s="69" t="s">
        <v>921</v>
      </c>
      <c r="B318" s="70" t="s">
        <v>922</v>
      </c>
      <c r="C318" s="71">
        <v>951</v>
      </c>
      <c r="D318" s="71">
        <v>0</v>
      </c>
    </row>
    <row r="319" spans="1:4" x14ac:dyDescent="0.3">
      <c r="A319" s="69" t="s">
        <v>923</v>
      </c>
      <c r="B319" s="70" t="s">
        <v>924</v>
      </c>
      <c r="C319" s="71">
        <v>637.99</v>
      </c>
      <c r="D319" s="71">
        <v>0</v>
      </c>
    </row>
    <row r="320" spans="1:4" x14ac:dyDescent="0.3">
      <c r="A320" s="69" t="s">
        <v>1415</v>
      </c>
      <c r="B320" s="70" t="s">
        <v>1416</v>
      </c>
      <c r="C320" s="71">
        <v>0</v>
      </c>
      <c r="D320" s="71">
        <v>0</v>
      </c>
    </row>
    <row r="321" spans="1:4" x14ac:dyDescent="0.3">
      <c r="A321" s="69" t="s">
        <v>1417</v>
      </c>
      <c r="B321" s="70" t="s">
        <v>1418</v>
      </c>
      <c r="C321" s="71">
        <v>0</v>
      </c>
      <c r="D321" s="71">
        <v>0</v>
      </c>
    </row>
    <row r="322" spans="1:4" x14ac:dyDescent="0.3">
      <c r="A322" s="69" t="s">
        <v>925</v>
      </c>
      <c r="B322" s="70" t="s">
        <v>926</v>
      </c>
      <c r="C322" s="71">
        <v>5110.18</v>
      </c>
      <c r="D322" s="71">
        <v>0</v>
      </c>
    </row>
    <row r="323" spans="1:4" x14ac:dyDescent="0.3">
      <c r="A323" s="69" t="s">
        <v>1419</v>
      </c>
      <c r="B323" s="70" t="s">
        <v>1420</v>
      </c>
      <c r="C323" s="71">
        <v>0</v>
      </c>
      <c r="D323" s="71">
        <v>0</v>
      </c>
    </row>
    <row r="324" spans="1:4" x14ac:dyDescent="0.3">
      <c r="A324" s="69" t="s">
        <v>927</v>
      </c>
      <c r="B324" s="70" t="s">
        <v>928</v>
      </c>
      <c r="C324" s="71">
        <v>318</v>
      </c>
      <c r="D324" s="71">
        <v>0</v>
      </c>
    </row>
    <row r="325" spans="1:4" x14ac:dyDescent="0.3">
      <c r="A325" s="69" t="s">
        <v>929</v>
      </c>
      <c r="B325" s="70" t="s">
        <v>930</v>
      </c>
      <c r="C325" s="71">
        <v>0</v>
      </c>
      <c r="D325" s="71">
        <v>0</v>
      </c>
    </row>
    <row r="326" spans="1:4" x14ac:dyDescent="0.3">
      <c r="A326" s="69" t="s">
        <v>931</v>
      </c>
      <c r="B326" s="70" t="s">
        <v>932</v>
      </c>
      <c r="C326" s="71">
        <v>182.25</v>
      </c>
      <c r="D326" s="71">
        <v>0</v>
      </c>
    </row>
    <row r="327" spans="1:4" x14ac:dyDescent="0.3">
      <c r="A327" s="69" t="s">
        <v>1421</v>
      </c>
      <c r="B327" s="70" t="s">
        <v>1422</v>
      </c>
      <c r="C327" s="71">
        <v>0</v>
      </c>
      <c r="D327" s="71">
        <v>0</v>
      </c>
    </row>
    <row r="328" spans="1:4" x14ac:dyDescent="0.3">
      <c r="A328" s="69" t="s">
        <v>933</v>
      </c>
      <c r="B328" s="70" t="s">
        <v>934</v>
      </c>
      <c r="C328" s="71">
        <v>1116.3</v>
      </c>
      <c r="D328" s="71">
        <v>0</v>
      </c>
    </row>
    <row r="329" spans="1:4" x14ac:dyDescent="0.3">
      <c r="A329" s="69" t="s">
        <v>935</v>
      </c>
      <c r="B329" s="70" t="s">
        <v>936</v>
      </c>
      <c r="C329" s="71">
        <v>558.75</v>
      </c>
      <c r="D329" s="71">
        <v>0</v>
      </c>
    </row>
    <row r="330" spans="1:4" x14ac:dyDescent="0.3">
      <c r="A330" s="69" t="s">
        <v>2146</v>
      </c>
      <c r="B330" s="70" t="s">
        <v>2147</v>
      </c>
      <c r="C330" s="71">
        <v>0</v>
      </c>
      <c r="D330" s="71">
        <v>0</v>
      </c>
    </row>
    <row r="331" spans="1:4" x14ac:dyDescent="0.3">
      <c r="A331" s="69" t="s">
        <v>937</v>
      </c>
      <c r="B331" s="70" t="s">
        <v>938</v>
      </c>
      <c r="C331" s="71">
        <v>2614.9</v>
      </c>
      <c r="D331" s="71">
        <v>0</v>
      </c>
    </row>
    <row r="332" spans="1:4" x14ac:dyDescent="0.3">
      <c r="A332" s="69" t="s">
        <v>939</v>
      </c>
      <c r="B332" s="70" t="s">
        <v>940</v>
      </c>
      <c r="C332" s="71">
        <v>0</v>
      </c>
      <c r="D332" s="71">
        <v>0</v>
      </c>
    </row>
    <row r="333" spans="1:4" x14ac:dyDescent="0.3">
      <c r="A333" s="69" t="s">
        <v>1423</v>
      </c>
      <c r="B333" s="70" t="s">
        <v>1424</v>
      </c>
      <c r="C333" s="71">
        <v>0</v>
      </c>
      <c r="D333" s="71">
        <v>0</v>
      </c>
    </row>
    <row r="334" spans="1:4" x14ac:dyDescent="0.3">
      <c r="A334" s="69" t="s">
        <v>1425</v>
      </c>
      <c r="B334" s="70" t="s">
        <v>1426</v>
      </c>
      <c r="C334" s="71">
        <v>0</v>
      </c>
      <c r="D334" s="71">
        <v>0</v>
      </c>
    </row>
    <row r="335" spans="1:4" x14ac:dyDescent="0.3">
      <c r="A335" s="69" t="s">
        <v>1427</v>
      </c>
      <c r="B335" s="70" t="s">
        <v>1428</v>
      </c>
      <c r="C335" s="71">
        <v>90.42</v>
      </c>
      <c r="D335" s="71">
        <v>0</v>
      </c>
    </row>
    <row r="336" spans="1:4" x14ac:dyDescent="0.3">
      <c r="A336" s="69" t="s">
        <v>1429</v>
      </c>
      <c r="B336" s="70" t="s">
        <v>1430</v>
      </c>
      <c r="C336" s="71">
        <v>0</v>
      </c>
      <c r="D336" s="71">
        <v>0</v>
      </c>
    </row>
    <row r="337" spans="1:4" x14ac:dyDescent="0.3">
      <c r="A337" s="69" t="s">
        <v>1431</v>
      </c>
      <c r="B337" s="70" t="s">
        <v>1432</v>
      </c>
      <c r="C337" s="71">
        <v>1692.87</v>
      </c>
      <c r="D337" s="71">
        <v>0</v>
      </c>
    </row>
    <row r="338" spans="1:4" x14ac:dyDescent="0.3">
      <c r="A338" s="69" t="s">
        <v>941</v>
      </c>
      <c r="B338" s="70" t="s">
        <v>942</v>
      </c>
      <c r="C338" s="71">
        <v>1470.81</v>
      </c>
      <c r="D338" s="71">
        <v>0</v>
      </c>
    </row>
    <row r="339" spans="1:4" x14ac:dyDescent="0.3">
      <c r="A339" s="69" t="s">
        <v>943</v>
      </c>
      <c r="B339" s="70" t="s">
        <v>944</v>
      </c>
      <c r="C339" s="71">
        <v>0</v>
      </c>
      <c r="D339" s="71">
        <v>0</v>
      </c>
    </row>
    <row r="340" spans="1:4" x14ac:dyDescent="0.3">
      <c r="A340" s="69" t="s">
        <v>945</v>
      </c>
      <c r="B340" s="70" t="s">
        <v>946</v>
      </c>
      <c r="C340" s="71">
        <v>0</v>
      </c>
      <c r="D340" s="71">
        <v>0</v>
      </c>
    </row>
    <row r="341" spans="1:4" x14ac:dyDescent="0.3">
      <c r="A341" s="69" t="s">
        <v>1433</v>
      </c>
      <c r="B341" s="70" t="s">
        <v>1434</v>
      </c>
      <c r="C341" s="71">
        <v>0</v>
      </c>
      <c r="D341" s="71">
        <v>0</v>
      </c>
    </row>
    <row r="342" spans="1:4" x14ac:dyDescent="0.3">
      <c r="A342" s="69" t="s">
        <v>1435</v>
      </c>
      <c r="B342" s="70" t="s">
        <v>1436</v>
      </c>
      <c r="C342" s="71">
        <v>0</v>
      </c>
      <c r="D342" s="71">
        <v>0</v>
      </c>
    </row>
    <row r="343" spans="1:4" x14ac:dyDescent="0.3">
      <c r="A343" s="69" t="s">
        <v>1437</v>
      </c>
      <c r="B343" s="70" t="s">
        <v>1438</v>
      </c>
      <c r="C343" s="71">
        <v>0</v>
      </c>
      <c r="D343" s="71">
        <v>0</v>
      </c>
    </row>
    <row r="344" spans="1:4" x14ac:dyDescent="0.3">
      <c r="A344" s="69" t="s">
        <v>1439</v>
      </c>
      <c r="B344" s="70" t="s">
        <v>1440</v>
      </c>
      <c r="C344" s="71">
        <v>0</v>
      </c>
      <c r="D344" s="71">
        <v>0</v>
      </c>
    </row>
    <row r="345" spans="1:4" x14ac:dyDescent="0.3">
      <c r="A345" s="69" t="s">
        <v>1441</v>
      </c>
      <c r="B345" s="70" t="s">
        <v>1442</v>
      </c>
      <c r="C345" s="71">
        <v>0</v>
      </c>
      <c r="D345" s="71">
        <v>0</v>
      </c>
    </row>
    <row r="346" spans="1:4" x14ac:dyDescent="0.3">
      <c r="A346" s="69" t="s">
        <v>947</v>
      </c>
      <c r="B346" s="70" t="s">
        <v>948</v>
      </c>
      <c r="C346" s="71">
        <v>114361.13</v>
      </c>
      <c r="D346" s="71">
        <v>0</v>
      </c>
    </row>
    <row r="347" spans="1:4" x14ac:dyDescent="0.3">
      <c r="A347" s="69" t="s">
        <v>2114</v>
      </c>
      <c r="B347" s="70" t="s">
        <v>2115</v>
      </c>
      <c r="C347" s="71">
        <v>0</v>
      </c>
      <c r="D347" s="71">
        <v>0</v>
      </c>
    </row>
    <row r="348" spans="1:4" x14ac:dyDescent="0.3">
      <c r="A348" s="69" t="s">
        <v>1443</v>
      </c>
      <c r="B348" s="70" t="s">
        <v>585</v>
      </c>
      <c r="C348" s="71">
        <v>0</v>
      </c>
      <c r="D348" s="71">
        <v>0</v>
      </c>
    </row>
    <row r="349" spans="1:4" x14ac:dyDescent="0.3">
      <c r="A349" s="69" t="s">
        <v>1444</v>
      </c>
      <c r="B349" s="70" t="s">
        <v>1445</v>
      </c>
      <c r="C349" s="71">
        <v>0</v>
      </c>
      <c r="D349" s="71">
        <v>0</v>
      </c>
    </row>
    <row r="350" spans="1:4" x14ac:dyDescent="0.3">
      <c r="A350" s="69" t="s">
        <v>1446</v>
      </c>
      <c r="B350" s="70" t="s">
        <v>1447</v>
      </c>
      <c r="C350" s="71">
        <v>0</v>
      </c>
      <c r="D350" s="71">
        <v>0</v>
      </c>
    </row>
    <row r="351" spans="1:4" x14ac:dyDescent="0.3">
      <c r="A351" s="69" t="s">
        <v>1448</v>
      </c>
      <c r="B351" s="70" t="s">
        <v>824</v>
      </c>
      <c r="C351" s="71">
        <v>0</v>
      </c>
      <c r="D351" s="71">
        <v>0</v>
      </c>
    </row>
    <row r="352" spans="1:4" x14ac:dyDescent="0.3">
      <c r="A352" s="69" t="s">
        <v>1449</v>
      </c>
      <c r="B352" s="70" t="s">
        <v>1450</v>
      </c>
      <c r="C352" s="71">
        <v>482.04</v>
      </c>
      <c r="D352" s="71">
        <v>0</v>
      </c>
    </row>
    <row r="353" spans="1:4" x14ac:dyDescent="0.3">
      <c r="A353" s="69" t="s">
        <v>1451</v>
      </c>
      <c r="B353" s="70" t="s">
        <v>1452</v>
      </c>
      <c r="C353" s="71">
        <v>200.8</v>
      </c>
      <c r="D353" s="71">
        <v>0</v>
      </c>
    </row>
    <row r="354" spans="1:4" x14ac:dyDescent="0.3">
      <c r="A354" s="69" t="s">
        <v>949</v>
      </c>
      <c r="B354" s="70" t="s">
        <v>950</v>
      </c>
      <c r="C354" s="71">
        <v>0</v>
      </c>
      <c r="D354" s="71">
        <v>0</v>
      </c>
    </row>
    <row r="355" spans="1:4" x14ac:dyDescent="0.3">
      <c r="A355" s="69" t="s">
        <v>1453</v>
      </c>
      <c r="B355" s="70" t="s">
        <v>1454</v>
      </c>
      <c r="C355" s="71">
        <v>0</v>
      </c>
      <c r="D355" s="71">
        <v>0</v>
      </c>
    </row>
    <row r="356" spans="1:4" x14ac:dyDescent="0.3">
      <c r="A356" s="69" t="s">
        <v>1455</v>
      </c>
      <c r="B356" s="70" t="s">
        <v>1456</v>
      </c>
      <c r="C356" s="71">
        <v>0</v>
      </c>
      <c r="D356" s="71">
        <v>0</v>
      </c>
    </row>
    <row r="357" spans="1:4" x14ac:dyDescent="0.3">
      <c r="A357" s="69" t="s">
        <v>951</v>
      </c>
      <c r="B357" s="70" t="s">
        <v>952</v>
      </c>
      <c r="C357" s="71">
        <v>0</v>
      </c>
      <c r="D357" s="71">
        <v>0</v>
      </c>
    </row>
    <row r="358" spans="1:4" x14ac:dyDescent="0.3">
      <c r="A358" s="69" t="s">
        <v>1457</v>
      </c>
      <c r="B358" s="70" t="s">
        <v>1458</v>
      </c>
      <c r="C358" s="71">
        <v>0</v>
      </c>
      <c r="D358" s="71">
        <v>0</v>
      </c>
    </row>
    <row r="359" spans="1:4" x14ac:dyDescent="0.3">
      <c r="A359" s="69" t="s">
        <v>1459</v>
      </c>
      <c r="B359" s="70" t="s">
        <v>1460</v>
      </c>
      <c r="C359" s="71">
        <v>0</v>
      </c>
      <c r="D359" s="71">
        <v>0</v>
      </c>
    </row>
    <row r="360" spans="1:4" x14ac:dyDescent="0.3">
      <c r="A360" s="69" t="s">
        <v>953</v>
      </c>
      <c r="B360" s="70" t="s">
        <v>844</v>
      </c>
      <c r="C360" s="71">
        <v>0</v>
      </c>
      <c r="D360" s="71">
        <v>0</v>
      </c>
    </row>
    <row r="361" spans="1:4" x14ac:dyDescent="0.3">
      <c r="A361" s="69" t="s">
        <v>1461</v>
      </c>
      <c r="B361" s="70" t="s">
        <v>1462</v>
      </c>
      <c r="C361" s="71">
        <v>0</v>
      </c>
      <c r="D361" s="71">
        <v>0</v>
      </c>
    </row>
    <row r="362" spans="1:4" x14ac:dyDescent="0.3">
      <c r="A362" s="69" t="s">
        <v>1463</v>
      </c>
      <c r="B362" s="70" t="s">
        <v>1464</v>
      </c>
      <c r="C362" s="71">
        <v>0</v>
      </c>
      <c r="D362" s="71">
        <v>0</v>
      </c>
    </row>
    <row r="363" spans="1:4" x14ac:dyDescent="0.3">
      <c r="A363" s="69" t="s">
        <v>1465</v>
      </c>
      <c r="B363" s="70" t="s">
        <v>1099</v>
      </c>
      <c r="C363" s="71">
        <v>0</v>
      </c>
      <c r="D363" s="71">
        <v>0</v>
      </c>
    </row>
    <row r="364" spans="1:4" x14ac:dyDescent="0.3">
      <c r="A364" s="69" t="s">
        <v>1466</v>
      </c>
      <c r="B364" s="70" t="s">
        <v>1467</v>
      </c>
      <c r="C364" s="71">
        <v>0</v>
      </c>
      <c r="D364" s="71">
        <v>0</v>
      </c>
    </row>
    <row r="365" spans="1:4" x14ac:dyDescent="0.3">
      <c r="A365" s="69" t="s">
        <v>954</v>
      </c>
      <c r="B365" s="70" t="s">
        <v>955</v>
      </c>
      <c r="C365" s="71">
        <v>1441.37</v>
      </c>
      <c r="D365" s="71">
        <v>0</v>
      </c>
    </row>
    <row r="366" spans="1:4" x14ac:dyDescent="0.3">
      <c r="A366" s="69" t="s">
        <v>1468</v>
      </c>
      <c r="B366" s="70" t="s">
        <v>1469</v>
      </c>
      <c r="C366" s="71">
        <v>0</v>
      </c>
      <c r="D366" s="71">
        <v>0</v>
      </c>
    </row>
    <row r="367" spans="1:4" x14ac:dyDescent="0.3">
      <c r="A367" s="69" t="s">
        <v>1470</v>
      </c>
      <c r="B367" s="70" t="s">
        <v>1471</v>
      </c>
      <c r="C367" s="71">
        <v>0</v>
      </c>
      <c r="D367" s="71">
        <v>0</v>
      </c>
    </row>
    <row r="368" spans="1:4" x14ac:dyDescent="0.3">
      <c r="A368" s="69" t="s">
        <v>1472</v>
      </c>
      <c r="B368" s="70" t="s">
        <v>1473</v>
      </c>
      <c r="C368" s="71">
        <v>0</v>
      </c>
      <c r="D368" s="71">
        <v>0</v>
      </c>
    </row>
    <row r="369" spans="1:4" x14ac:dyDescent="0.3">
      <c r="A369" s="69" t="s">
        <v>1474</v>
      </c>
      <c r="B369" s="70" t="s">
        <v>1475</v>
      </c>
      <c r="C369" s="71">
        <v>0</v>
      </c>
      <c r="D369" s="71">
        <v>0</v>
      </c>
    </row>
    <row r="370" spans="1:4" x14ac:dyDescent="0.3">
      <c r="A370" s="69" t="s">
        <v>1476</v>
      </c>
      <c r="B370" s="70" t="s">
        <v>1477</v>
      </c>
      <c r="C370" s="71">
        <v>0</v>
      </c>
      <c r="D370" s="71">
        <v>0</v>
      </c>
    </row>
    <row r="371" spans="1:4" x14ac:dyDescent="0.3">
      <c r="A371" s="69" t="s">
        <v>1478</v>
      </c>
      <c r="B371" s="70" t="s">
        <v>1479</v>
      </c>
      <c r="C371" s="71">
        <v>0</v>
      </c>
      <c r="D371" s="71">
        <v>0</v>
      </c>
    </row>
    <row r="372" spans="1:4" x14ac:dyDescent="0.3">
      <c r="A372" s="69" t="s">
        <v>1480</v>
      </c>
      <c r="B372" s="70" t="s">
        <v>1481</v>
      </c>
      <c r="C372" s="71">
        <v>0</v>
      </c>
      <c r="D372" s="71">
        <v>0</v>
      </c>
    </row>
    <row r="373" spans="1:4" x14ac:dyDescent="0.3">
      <c r="A373" s="69" t="s">
        <v>956</v>
      </c>
      <c r="B373" s="70" t="s">
        <v>957</v>
      </c>
      <c r="C373" s="71">
        <v>1802.17</v>
      </c>
      <c r="D373" s="71">
        <v>0</v>
      </c>
    </row>
    <row r="374" spans="1:4" x14ac:dyDescent="0.3">
      <c r="A374" s="69" t="s">
        <v>1482</v>
      </c>
      <c r="B374" s="70" t="s">
        <v>1483</v>
      </c>
      <c r="C374" s="71">
        <v>0</v>
      </c>
      <c r="D374" s="71">
        <v>0</v>
      </c>
    </row>
    <row r="375" spans="1:4" x14ac:dyDescent="0.3">
      <c r="A375" s="69" t="s">
        <v>958</v>
      </c>
      <c r="B375" s="70" t="s">
        <v>959</v>
      </c>
      <c r="C375" s="71">
        <v>10236.66</v>
      </c>
      <c r="D375" s="71">
        <v>0</v>
      </c>
    </row>
    <row r="376" spans="1:4" x14ac:dyDescent="0.3">
      <c r="A376" s="69" t="s">
        <v>960</v>
      </c>
      <c r="B376" s="70" t="s">
        <v>961</v>
      </c>
      <c r="C376" s="71">
        <v>334.64</v>
      </c>
      <c r="D376" s="71">
        <v>0</v>
      </c>
    </row>
    <row r="377" spans="1:4" x14ac:dyDescent="0.3">
      <c r="A377" s="69" t="s">
        <v>962</v>
      </c>
      <c r="B377" s="70" t="s">
        <v>963</v>
      </c>
      <c r="C377" s="71">
        <v>174.55</v>
      </c>
      <c r="D377" s="71">
        <v>0</v>
      </c>
    </row>
    <row r="378" spans="1:4" x14ac:dyDescent="0.3">
      <c r="A378" s="69" t="s">
        <v>1484</v>
      </c>
      <c r="B378" s="70" t="s">
        <v>1485</v>
      </c>
      <c r="C378" s="71">
        <v>100.25</v>
      </c>
      <c r="D378" s="71">
        <v>0</v>
      </c>
    </row>
    <row r="379" spans="1:4" x14ac:dyDescent="0.3">
      <c r="A379" s="69" t="s">
        <v>1486</v>
      </c>
      <c r="B379" s="70" t="s">
        <v>1487</v>
      </c>
      <c r="C379" s="71">
        <v>0</v>
      </c>
      <c r="D379" s="71">
        <v>0</v>
      </c>
    </row>
    <row r="380" spans="1:4" x14ac:dyDescent="0.3">
      <c r="A380" s="69" t="s">
        <v>1488</v>
      </c>
      <c r="B380" s="70" t="s">
        <v>1489</v>
      </c>
      <c r="C380" s="71">
        <v>0</v>
      </c>
      <c r="D380" s="71">
        <v>0</v>
      </c>
    </row>
    <row r="381" spans="1:4" x14ac:dyDescent="0.3">
      <c r="A381" s="69" t="s">
        <v>964</v>
      </c>
      <c r="B381" s="70" t="s">
        <v>965</v>
      </c>
      <c r="C381" s="71">
        <v>1104.44</v>
      </c>
      <c r="D381" s="71">
        <v>0</v>
      </c>
    </row>
    <row r="382" spans="1:4" x14ac:dyDescent="0.3">
      <c r="A382" s="69" t="s">
        <v>1490</v>
      </c>
      <c r="B382" s="70" t="s">
        <v>1491</v>
      </c>
      <c r="C382" s="71">
        <v>0</v>
      </c>
      <c r="D382" s="71">
        <v>0</v>
      </c>
    </row>
    <row r="383" spans="1:4" x14ac:dyDescent="0.3">
      <c r="A383" s="69" t="s">
        <v>966</v>
      </c>
      <c r="B383" s="70" t="s">
        <v>967</v>
      </c>
      <c r="C383" s="71">
        <v>121</v>
      </c>
      <c r="D383" s="71">
        <v>0</v>
      </c>
    </row>
    <row r="384" spans="1:4" x14ac:dyDescent="0.3">
      <c r="A384" s="69" t="s">
        <v>1492</v>
      </c>
      <c r="B384" s="70" t="s">
        <v>1493</v>
      </c>
      <c r="C384" s="71">
        <v>0</v>
      </c>
      <c r="D384" s="71">
        <v>0</v>
      </c>
    </row>
    <row r="385" spans="1:4" x14ac:dyDescent="0.3">
      <c r="A385" s="69" t="s">
        <v>1494</v>
      </c>
      <c r="B385" s="70" t="s">
        <v>1119</v>
      </c>
      <c r="C385" s="71">
        <v>0</v>
      </c>
      <c r="D385" s="71">
        <v>0</v>
      </c>
    </row>
    <row r="386" spans="1:4" x14ac:dyDescent="0.3">
      <c r="A386" s="69" t="s">
        <v>1495</v>
      </c>
      <c r="B386" s="70" t="s">
        <v>1496</v>
      </c>
      <c r="C386" s="71">
        <v>0</v>
      </c>
      <c r="D386" s="71">
        <v>0</v>
      </c>
    </row>
    <row r="387" spans="1:4" x14ac:dyDescent="0.3">
      <c r="A387" s="69" t="s">
        <v>968</v>
      </c>
      <c r="B387" s="70" t="s">
        <v>969</v>
      </c>
      <c r="C387" s="71">
        <v>21131.46</v>
      </c>
      <c r="D387" s="71">
        <v>0</v>
      </c>
    </row>
    <row r="388" spans="1:4" x14ac:dyDescent="0.3">
      <c r="A388" s="69" t="s">
        <v>970</v>
      </c>
      <c r="B388" s="70" t="s">
        <v>971</v>
      </c>
      <c r="C388" s="71">
        <v>22217.69</v>
      </c>
      <c r="D388" s="71">
        <v>0</v>
      </c>
    </row>
    <row r="389" spans="1:4" x14ac:dyDescent="0.3">
      <c r="A389" s="69" t="s">
        <v>1497</v>
      </c>
      <c r="B389" s="70" t="s">
        <v>1498</v>
      </c>
      <c r="C389" s="71">
        <v>0</v>
      </c>
      <c r="D389" s="71">
        <v>0</v>
      </c>
    </row>
    <row r="390" spans="1:4" x14ac:dyDescent="0.3">
      <c r="A390" s="69" t="s">
        <v>1499</v>
      </c>
      <c r="B390" s="70" t="s">
        <v>1500</v>
      </c>
      <c r="C390" s="71">
        <v>0</v>
      </c>
      <c r="D390" s="71">
        <v>0</v>
      </c>
    </row>
    <row r="391" spans="1:4" x14ac:dyDescent="0.3">
      <c r="A391" s="69" t="s">
        <v>972</v>
      </c>
      <c r="B391" s="70" t="s">
        <v>973</v>
      </c>
      <c r="C391" s="71">
        <v>17896.18</v>
      </c>
      <c r="D391" s="71">
        <v>0</v>
      </c>
    </row>
    <row r="392" spans="1:4" x14ac:dyDescent="0.3">
      <c r="A392" s="69" t="s">
        <v>974</v>
      </c>
      <c r="B392" s="70" t="s">
        <v>975</v>
      </c>
      <c r="C392" s="71">
        <v>461.99</v>
      </c>
      <c r="D392" s="71">
        <v>0</v>
      </c>
    </row>
    <row r="393" spans="1:4" x14ac:dyDescent="0.3">
      <c r="A393" s="69" t="s">
        <v>976</v>
      </c>
      <c r="B393" s="70" t="s">
        <v>977</v>
      </c>
      <c r="C393" s="71">
        <v>48509.67</v>
      </c>
      <c r="D393" s="71">
        <v>0</v>
      </c>
    </row>
    <row r="394" spans="1:4" x14ac:dyDescent="0.3">
      <c r="A394" s="69" t="s">
        <v>2116</v>
      </c>
      <c r="B394" s="70" t="s">
        <v>2117</v>
      </c>
      <c r="C394" s="71">
        <v>0</v>
      </c>
      <c r="D394" s="71">
        <v>0</v>
      </c>
    </row>
    <row r="395" spans="1:4" x14ac:dyDescent="0.3">
      <c r="A395" s="69" t="s">
        <v>978</v>
      </c>
      <c r="B395" s="70" t="s">
        <v>979</v>
      </c>
      <c r="C395" s="71">
        <v>3568.5</v>
      </c>
      <c r="D395" s="71">
        <v>0</v>
      </c>
    </row>
    <row r="396" spans="1:4" x14ac:dyDescent="0.3">
      <c r="A396" s="69" t="s">
        <v>980</v>
      </c>
      <c r="B396" s="70" t="s">
        <v>981</v>
      </c>
      <c r="C396" s="71">
        <v>0</v>
      </c>
      <c r="D396" s="71">
        <v>0</v>
      </c>
    </row>
    <row r="397" spans="1:4" x14ac:dyDescent="0.3">
      <c r="A397" s="69" t="s">
        <v>982</v>
      </c>
      <c r="B397" s="70" t="s">
        <v>983</v>
      </c>
      <c r="C397" s="71">
        <v>39.119999999999997</v>
      </c>
      <c r="D397" s="71">
        <v>0</v>
      </c>
    </row>
    <row r="398" spans="1:4" x14ac:dyDescent="0.3">
      <c r="A398" s="69" t="s">
        <v>984</v>
      </c>
      <c r="B398" s="70" t="s">
        <v>985</v>
      </c>
      <c r="C398" s="71">
        <v>13250.34</v>
      </c>
      <c r="D398" s="71">
        <v>0</v>
      </c>
    </row>
    <row r="399" spans="1:4" x14ac:dyDescent="0.3">
      <c r="A399" s="69" t="s">
        <v>1501</v>
      </c>
      <c r="B399" s="70" t="s">
        <v>1502</v>
      </c>
      <c r="C399" s="71">
        <v>0</v>
      </c>
      <c r="D399" s="71">
        <v>0</v>
      </c>
    </row>
    <row r="400" spans="1:4" x14ac:dyDescent="0.3">
      <c r="A400" s="69" t="s">
        <v>1503</v>
      </c>
      <c r="B400" s="70" t="s">
        <v>1504</v>
      </c>
      <c r="C400" s="72">
        <v>0</v>
      </c>
      <c r="D400" s="72">
        <v>0</v>
      </c>
    </row>
    <row r="401" spans="1:4" x14ac:dyDescent="0.3">
      <c r="A401"/>
      <c r="B401"/>
      <c r="C401"/>
      <c r="D401"/>
    </row>
    <row r="402" spans="1:4" ht="19.5" thickBot="1" x14ac:dyDescent="0.35">
      <c r="A402" s="65"/>
      <c r="B402" s="65"/>
      <c r="C402" s="91">
        <f>SUBTOTAL(9,C6:C400)</f>
        <v>5981238.5700000012</v>
      </c>
      <c r="D402" s="91">
        <f>SUBTOTAL(9,D6:D400)</f>
        <v>5981238.5700000003</v>
      </c>
    </row>
    <row r="403" spans="1:4" ht="19.5" thickTop="1" x14ac:dyDescent="0.3">
      <c r="A403"/>
      <c r="B403"/>
      <c r="C403"/>
      <c r="D403"/>
    </row>
    <row r="404" spans="1:4" x14ac:dyDescent="0.3">
      <c r="A404" s="236" t="s">
        <v>2086</v>
      </c>
      <c r="B404" s="236"/>
      <c r="C404" s="236"/>
      <c r="D404" s="236"/>
    </row>
  </sheetData>
  <mergeCells count="1">
    <mergeCell ref="A404:D404"/>
  </mergeCells>
  <pageMargins left="0" right="0" top="0.15748031496062992" bottom="0.15748031496062992" header="0.11811023622047245" footer="0.1181102362204724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A279-7C3D-4D33-A6B5-179D93511283}">
  <dimension ref="A1:S45"/>
  <sheetViews>
    <sheetView topLeftCell="A26" zoomScaleNormal="100" workbookViewId="0">
      <selection activeCell="M27" sqref="M27"/>
    </sheetView>
  </sheetViews>
  <sheetFormatPr defaultRowHeight="15" x14ac:dyDescent="0.2"/>
  <cols>
    <col min="1" max="1" width="4.42578125" style="31" customWidth="1"/>
    <col min="2" max="2" width="32.85546875" style="31" customWidth="1"/>
    <col min="3" max="3" width="0.28515625" style="31" customWidth="1"/>
    <col min="4" max="4" width="21.85546875" style="31" customWidth="1"/>
    <col min="5" max="5" width="23" style="31" customWidth="1"/>
    <col min="6" max="6" width="0.28515625" style="31" customWidth="1"/>
    <col min="7" max="7" width="15.7109375" style="31" hidden="1" customWidth="1"/>
    <col min="8" max="8" width="19.42578125" style="31" customWidth="1"/>
    <col min="9" max="9" width="21.140625" style="31" customWidth="1"/>
    <col min="10" max="16384" width="9.140625" style="31"/>
  </cols>
  <sheetData>
    <row r="1" spans="1:19" ht="18" x14ac:dyDescent="0.25">
      <c r="A1" s="53" t="s">
        <v>1803</v>
      </c>
      <c r="B1" s="54"/>
      <c r="C1" s="54"/>
      <c r="D1" s="54"/>
      <c r="E1" s="54"/>
      <c r="F1" s="54"/>
      <c r="G1" s="54"/>
      <c r="H1" s="54"/>
      <c r="I1" s="54"/>
    </row>
    <row r="2" spans="1:19" ht="18" x14ac:dyDescent="0.25">
      <c r="A2" s="53" t="s">
        <v>1941</v>
      </c>
      <c r="B2" s="54"/>
      <c r="C2" s="54"/>
      <c r="D2" s="54"/>
      <c r="E2" s="54"/>
      <c r="F2" s="54"/>
      <c r="G2" s="54"/>
      <c r="H2" s="54"/>
      <c r="I2" s="54"/>
    </row>
    <row r="3" spans="1:19" ht="18" x14ac:dyDescent="0.25">
      <c r="A3" s="53" t="s">
        <v>2081</v>
      </c>
      <c r="B3" s="54"/>
      <c r="C3" s="54"/>
      <c r="D3" s="54"/>
      <c r="E3" s="54"/>
      <c r="F3" s="54"/>
      <c r="G3" s="54"/>
      <c r="H3" s="54"/>
      <c r="I3" s="54"/>
    </row>
    <row r="4" spans="1:19" ht="14.25" customHeight="1" thickBot="1" x14ac:dyDescent="0.25"/>
    <row r="5" spans="1:19" ht="30" customHeight="1" thickTop="1" thickBot="1" x14ac:dyDescent="0.25">
      <c r="A5" s="50"/>
      <c r="B5" s="50"/>
      <c r="C5" s="50"/>
      <c r="D5" s="85" t="s">
        <v>2080</v>
      </c>
      <c r="E5" s="85" t="s">
        <v>2079</v>
      </c>
      <c r="F5" s="85" t="s">
        <v>2078</v>
      </c>
      <c r="G5" s="85" t="s">
        <v>2041</v>
      </c>
      <c r="H5" s="85" t="s">
        <v>2042</v>
      </c>
      <c r="I5" s="85" t="s">
        <v>2040</v>
      </c>
    </row>
    <row r="6" spans="1:19" ht="30" customHeight="1" thickTop="1" x14ac:dyDescent="0.3">
      <c r="B6" s="340" t="s">
        <v>2498</v>
      </c>
      <c r="F6" s="82"/>
      <c r="G6" s="64" t="s">
        <v>2077</v>
      </c>
      <c r="H6" s="82"/>
      <c r="I6" s="82"/>
    </row>
    <row r="7" spans="1:19" ht="20.100000000000001" customHeight="1" x14ac:dyDescent="0.25">
      <c r="A7" s="32" t="s">
        <v>1805</v>
      </c>
    </row>
    <row r="8" spans="1:19" ht="20.100000000000001" customHeight="1" x14ac:dyDescent="0.2">
      <c r="B8" s="31" t="s">
        <v>1942</v>
      </c>
      <c r="C8" s="36" t="s">
        <v>1953</v>
      </c>
      <c r="D8" s="37">
        <f>-ROUND(VLOOKUP($C8,Database!$B$8:$P$994,2,0),0)</f>
        <v>127500</v>
      </c>
      <c r="E8" s="95">
        <f>F8+G8</f>
        <v>101179</v>
      </c>
      <c r="F8" s="37">
        <f>-ROUND(VLOOKUP($C8,Database!$B$8:$P$994,3,0),0)</f>
        <v>0</v>
      </c>
      <c r="G8" s="37">
        <f>-ROUND(VLOOKUP($C8,Database!$B$8:$P$994,9,0),0)</f>
        <v>101179</v>
      </c>
      <c r="H8" s="41">
        <v>100000</v>
      </c>
      <c r="I8" s="41">
        <v>99888</v>
      </c>
    </row>
    <row r="9" spans="1:19" ht="20.100000000000001" customHeight="1" x14ac:dyDescent="0.2">
      <c r="B9" s="31" t="s">
        <v>1943</v>
      </c>
      <c r="C9" s="36" t="s">
        <v>1954</v>
      </c>
      <c r="D9" s="37">
        <f>-ROUND(VLOOKUP($C9,Database!$B$8:$P$994,2,0),0)</f>
        <v>90337</v>
      </c>
      <c r="E9" s="95">
        <f t="shared" ref="E9:E10" si="0">F9+G9</f>
        <v>73744</v>
      </c>
      <c r="F9" s="37">
        <f>-ROUND(VLOOKUP($C9,Database!$B$8:$P$994,3,0),0)</f>
        <v>18436</v>
      </c>
      <c r="G9" s="37">
        <f>-ROUND(VLOOKUP($C9,Database!$B$8:$P$994,9,0),0)</f>
        <v>55308</v>
      </c>
      <c r="H9" s="41">
        <f>65000+1000</f>
        <v>66000</v>
      </c>
      <c r="I9" s="41">
        <v>67075</v>
      </c>
    </row>
    <row r="10" spans="1:19" ht="20.100000000000001" customHeight="1" x14ac:dyDescent="0.2">
      <c r="B10" s="31" t="s">
        <v>764</v>
      </c>
      <c r="C10" s="36" t="s">
        <v>1676</v>
      </c>
      <c r="D10" s="37">
        <f>-ROUND(VLOOKUP($C10,Database!$B$8:$P$994,2,0),0)</f>
        <v>4500</v>
      </c>
      <c r="E10" s="95">
        <f t="shared" si="0"/>
        <v>4681</v>
      </c>
      <c r="F10" s="37">
        <f>-ROUND(VLOOKUP($C10,Database!$B$8:$P$994,3,0),0)</f>
        <v>300</v>
      </c>
      <c r="G10" s="37">
        <f>-ROUND(VLOOKUP($C10,Database!$B$8:$P$994,9,0),0)</f>
        <v>4381</v>
      </c>
      <c r="H10" s="41">
        <v>3000</v>
      </c>
      <c r="I10" s="41">
        <v>5189</v>
      </c>
    </row>
    <row r="11" spans="1:19" ht="30" customHeight="1" x14ac:dyDescent="0.25">
      <c r="D11" s="43">
        <f t="shared" ref="D11:E11" si="1">SUM(D8:D10)</f>
        <v>222337</v>
      </c>
      <c r="E11" s="43">
        <f t="shared" si="1"/>
        <v>179604</v>
      </c>
      <c r="F11" s="43">
        <f>SUM(F8:F10)</f>
        <v>18736</v>
      </c>
      <c r="G11" s="43">
        <f>SUM(G8:G10)</f>
        <v>160868</v>
      </c>
      <c r="H11" s="43">
        <f>SUM(H8:H10)</f>
        <v>169000</v>
      </c>
      <c r="I11" s="43">
        <f>SUM(I8:I10)</f>
        <v>172152</v>
      </c>
    </row>
    <row r="12" spans="1:19" ht="20.100000000000001" customHeight="1" x14ac:dyDescent="0.25">
      <c r="A12" s="32" t="s">
        <v>1819</v>
      </c>
      <c r="F12" s="41"/>
      <c r="G12" s="41"/>
      <c r="H12" s="41"/>
      <c r="I12" s="41"/>
      <c r="L12" s="88"/>
    </row>
    <row r="13" spans="1:19" ht="20.100000000000001" customHeight="1" x14ac:dyDescent="0.25">
      <c r="B13" s="32" t="s">
        <v>1944</v>
      </c>
      <c r="C13" s="32"/>
      <c r="D13" s="32"/>
      <c r="E13" s="32"/>
      <c r="F13" s="41"/>
      <c r="G13" s="41"/>
      <c r="H13" s="41"/>
      <c r="I13" s="41"/>
    </row>
    <row r="14" spans="1:19" ht="20.100000000000001" customHeight="1" x14ac:dyDescent="0.2">
      <c r="B14" s="31" t="s">
        <v>1945</v>
      </c>
      <c r="C14" s="36" t="s">
        <v>1962</v>
      </c>
      <c r="D14" s="37">
        <f>ROUND(VLOOKUP($C14,Database!$B$8:$P$994,2,0),0)</f>
        <v>27200</v>
      </c>
      <c r="E14" s="95">
        <f t="shared" ref="E14:E16" si="2">F14+G14</f>
        <v>26400</v>
      </c>
      <c r="F14" s="37">
        <f>ROUND(VLOOKUP($C14,Database!$B$8:$P$994,3,0),0)</f>
        <v>0</v>
      </c>
      <c r="G14" s="37">
        <f>ROUND(VLOOKUP($C14,Database!$B$8:$P$994,9,0),0)</f>
        <v>26400</v>
      </c>
      <c r="H14" s="41">
        <v>26400</v>
      </c>
      <c r="I14" s="41">
        <v>29200</v>
      </c>
    </row>
    <row r="15" spans="1:19" ht="20.100000000000001" customHeight="1" x14ac:dyDescent="0.2">
      <c r="B15" s="31" t="s">
        <v>1895</v>
      </c>
      <c r="C15" s="36" t="s">
        <v>1963</v>
      </c>
      <c r="D15" s="37">
        <f>ROUND(VLOOKUP($C15,Database!$B$8:$P$994,2,0),0)</f>
        <v>9500</v>
      </c>
      <c r="E15" s="95">
        <f t="shared" si="2"/>
        <v>9016</v>
      </c>
      <c r="F15" s="37">
        <f>ROUND(VLOOKUP($C15,Database!$B$8:$P$994,3,0),0)</f>
        <v>1000</v>
      </c>
      <c r="G15" s="37">
        <f>ROUND(VLOOKUP($C15,Database!$B$8:$P$994,9,0),0)</f>
        <v>8016</v>
      </c>
      <c r="H15" s="41">
        <v>9000</v>
      </c>
      <c r="I15" s="41">
        <v>7973</v>
      </c>
      <c r="S15" s="92"/>
    </row>
    <row r="16" spans="1:19" ht="20.100000000000001" customHeight="1" x14ac:dyDescent="0.2">
      <c r="B16" s="31" t="s">
        <v>1896</v>
      </c>
      <c r="C16" s="36" t="s">
        <v>1964</v>
      </c>
      <c r="D16" s="37">
        <f>ROUND(VLOOKUP($C16,Database!$B$8:$P$994,2,0),0)</f>
        <v>13300</v>
      </c>
      <c r="E16" s="95">
        <f t="shared" si="2"/>
        <v>17411</v>
      </c>
      <c r="F16" s="37">
        <f>ROUND(VLOOKUP($C16,Database!$B$8:$P$994,3,0),0)</f>
        <v>0</v>
      </c>
      <c r="G16" s="37">
        <f>ROUND(VLOOKUP($C16,Database!$B$8:$P$994,9,0),0)</f>
        <v>17411</v>
      </c>
      <c r="H16" s="41">
        <v>15000</v>
      </c>
      <c r="I16" s="41">
        <v>6677</v>
      </c>
    </row>
    <row r="17" spans="2:9" ht="30" customHeight="1" x14ac:dyDescent="0.25">
      <c r="D17" s="43">
        <f t="shared" ref="D17:E17" si="3">SUM(D14:D16)</f>
        <v>50000</v>
      </c>
      <c r="E17" s="43">
        <f t="shared" si="3"/>
        <v>52827</v>
      </c>
      <c r="F17" s="43">
        <f>SUM(F14:F16)</f>
        <v>1000</v>
      </c>
      <c r="G17" s="43">
        <f>SUM(G14:G16)</f>
        <v>51827</v>
      </c>
      <c r="H17" s="43">
        <f>SUM(H14:H16)</f>
        <v>50400</v>
      </c>
      <c r="I17" s="43">
        <f>SUM(I14:I16)</f>
        <v>43850</v>
      </c>
    </row>
    <row r="18" spans="2:9" ht="20.100000000000001" customHeight="1" x14ac:dyDescent="0.25">
      <c r="B18" s="32" t="s">
        <v>1951</v>
      </c>
      <c r="C18" s="32"/>
      <c r="D18" s="32"/>
      <c r="E18" s="32"/>
      <c r="F18" s="41"/>
      <c r="G18" s="41"/>
      <c r="H18" s="41"/>
      <c r="I18" s="41"/>
    </row>
    <row r="19" spans="2:9" ht="20.100000000000001" customHeight="1" x14ac:dyDescent="0.2">
      <c r="B19" s="31" t="s">
        <v>1946</v>
      </c>
      <c r="C19" s="36" t="s">
        <v>1965</v>
      </c>
      <c r="D19" s="37">
        <f>ROUND(VLOOKUP($C19,Database!$B$8:$P$994,2,0),0)</f>
        <v>500</v>
      </c>
      <c r="E19" s="95">
        <f t="shared" ref="E19:E24" si="4">F19+G19</f>
        <v>500</v>
      </c>
      <c r="F19" s="37">
        <f>ROUND(VLOOKUP($C19,Database!$B$8:$P$994,3,0),0)</f>
        <v>500</v>
      </c>
      <c r="G19" s="37">
        <f>ROUND(VLOOKUP($C19,Database!$B$8:$P$994,9,0),0)</f>
        <v>0</v>
      </c>
      <c r="H19" s="41">
        <v>0</v>
      </c>
      <c r="I19" s="41">
        <v>0</v>
      </c>
    </row>
    <row r="20" spans="2:9" ht="20.100000000000001" customHeight="1" x14ac:dyDescent="0.2">
      <c r="B20" s="31" t="s">
        <v>1825</v>
      </c>
      <c r="C20" s="36" t="s">
        <v>1966</v>
      </c>
      <c r="D20" s="37">
        <f>ROUND(VLOOKUP($C20,Database!$B$8:$P$994,2,0),0)</f>
        <v>3131</v>
      </c>
      <c r="E20" s="95">
        <f t="shared" si="4"/>
        <v>2609</v>
      </c>
      <c r="F20" s="37">
        <f>ROUND(VLOOKUP($C20,Database!$B$8:$P$994,3,0),0)</f>
        <v>756</v>
      </c>
      <c r="G20" s="37">
        <f>ROUND(VLOOKUP($C20,Database!$B$8:$P$994,9,0),0)</f>
        <v>1853</v>
      </c>
      <c r="H20" s="41">
        <v>3000</v>
      </c>
      <c r="I20" s="41">
        <v>2471</v>
      </c>
    </row>
    <row r="21" spans="2:9" ht="20.100000000000001" customHeight="1" x14ac:dyDescent="0.2">
      <c r="B21" s="31" t="s">
        <v>1947</v>
      </c>
      <c r="C21" s="36" t="s">
        <v>1967</v>
      </c>
      <c r="D21" s="37">
        <f>ROUND(VLOOKUP($C21,Database!$B$8:$P$994,2,0),0)</f>
        <v>400</v>
      </c>
      <c r="E21" s="95">
        <f t="shared" si="4"/>
        <v>310</v>
      </c>
      <c r="F21" s="37">
        <f>ROUND(VLOOKUP($C21,Database!$B$8:$P$994,3,0),0)</f>
        <v>30</v>
      </c>
      <c r="G21" s="37">
        <f>ROUND(VLOOKUP($C21,Database!$B$8:$P$994,9,0),0)</f>
        <v>280</v>
      </c>
      <c r="H21" s="41">
        <v>500</v>
      </c>
      <c r="I21" s="41">
        <v>330</v>
      </c>
    </row>
    <row r="22" spans="2:9" ht="20.100000000000001" customHeight="1" x14ac:dyDescent="0.2">
      <c r="B22" s="31" t="s">
        <v>1948</v>
      </c>
      <c r="C22" s="36" t="s">
        <v>1971</v>
      </c>
      <c r="D22" s="37">
        <f>ROUND(VLOOKUP($C22,Database!$B$8:$P$994,2,0),0)</f>
        <v>2000</v>
      </c>
      <c r="E22" s="95">
        <f t="shared" si="4"/>
        <v>2000</v>
      </c>
      <c r="F22" s="37">
        <f>ROUND(VLOOKUP($C22,Database!$B$8:$P$994,3,0),0)</f>
        <v>2000</v>
      </c>
      <c r="G22" s="37">
        <f>ROUND(VLOOKUP($C22,Database!$B$8:$P$994,9,0),0)</f>
        <v>0</v>
      </c>
      <c r="H22" s="41">
        <v>2000</v>
      </c>
      <c r="I22" s="41">
        <v>1741</v>
      </c>
    </row>
    <row r="23" spans="2:9" ht="20.100000000000001" customHeight="1" x14ac:dyDescent="0.2">
      <c r="B23" s="31" t="s">
        <v>1949</v>
      </c>
      <c r="C23" s="36" t="s">
        <v>1968</v>
      </c>
      <c r="D23" s="37">
        <f>ROUND(VLOOKUP($C23,Database!$B$8:$P$994,2,0),0)</f>
        <v>6000</v>
      </c>
      <c r="E23" s="95">
        <f t="shared" si="4"/>
        <v>2000</v>
      </c>
      <c r="F23" s="37">
        <f>ROUND(VLOOKUP($C23,Database!$B$8:$P$994,3,0),0)</f>
        <v>2000</v>
      </c>
      <c r="G23" s="37">
        <f>ROUND(VLOOKUP($C23,Database!$B$8:$P$994,9,0),0)</f>
        <v>0</v>
      </c>
      <c r="H23" s="41">
        <f>2500+6000</f>
        <v>8500</v>
      </c>
      <c r="I23" s="41">
        <v>1750</v>
      </c>
    </row>
    <row r="24" spans="2:9" ht="20.100000000000001" customHeight="1" x14ac:dyDescent="0.2">
      <c r="B24" s="31" t="s">
        <v>1950</v>
      </c>
      <c r="C24" s="36" t="s">
        <v>1969</v>
      </c>
      <c r="D24" s="37">
        <f>ROUND(VLOOKUP($C24,Database!$B$8:$P$994,2,0),0)</f>
        <v>700</v>
      </c>
      <c r="E24" s="95">
        <f t="shared" si="4"/>
        <v>672</v>
      </c>
      <c r="F24" s="37">
        <f>ROUND(VLOOKUP($C24,Database!$B$8:$P$994,3,0),0)</f>
        <v>0</v>
      </c>
      <c r="G24" s="37">
        <f>ROUND(VLOOKUP($C24,Database!$B$8:$P$994,9,0),0)</f>
        <v>672</v>
      </c>
      <c r="H24" s="41">
        <v>700</v>
      </c>
      <c r="I24" s="41">
        <v>665</v>
      </c>
    </row>
    <row r="25" spans="2:9" ht="30" customHeight="1" x14ac:dyDescent="0.25">
      <c r="D25" s="43">
        <f t="shared" ref="D25:E25" si="5">SUM(D19:D24)</f>
        <v>12731</v>
      </c>
      <c r="E25" s="43">
        <f t="shared" si="5"/>
        <v>8091</v>
      </c>
      <c r="F25" s="43">
        <f>SUM(F19:F24)</f>
        <v>5286</v>
      </c>
      <c r="G25" s="43">
        <f>SUM(G19:G24)</f>
        <v>2805</v>
      </c>
      <c r="H25" s="43">
        <f>SUM(H19:H24)</f>
        <v>14700</v>
      </c>
      <c r="I25" s="43">
        <f>SUM(I19:I24)</f>
        <v>6957</v>
      </c>
    </row>
    <row r="26" spans="2:9" ht="20.100000000000001" customHeight="1" x14ac:dyDescent="0.25">
      <c r="B26" s="32" t="s">
        <v>1814</v>
      </c>
      <c r="C26" s="32"/>
      <c r="D26" s="32"/>
      <c r="E26" s="32"/>
      <c r="F26" s="41"/>
      <c r="G26" s="41"/>
      <c r="H26" s="41"/>
      <c r="I26" s="41"/>
    </row>
    <row r="27" spans="2:9" ht="20.100000000000001" customHeight="1" x14ac:dyDescent="0.2">
      <c r="B27" s="31" t="s">
        <v>1821</v>
      </c>
      <c r="C27" s="36" t="s">
        <v>1972</v>
      </c>
      <c r="D27" s="37">
        <f>ROUND(VLOOKUP($C27,Database!$B$8:$P$994,2,0),0)</f>
        <v>68000</v>
      </c>
      <c r="E27" s="95">
        <f t="shared" ref="E27:E28" si="6">F27+G27</f>
        <v>66504</v>
      </c>
      <c r="F27" s="37">
        <f>ROUND(VLOOKUP($C27,Database!$B$8:$P$994,3,0),0)</f>
        <v>17500</v>
      </c>
      <c r="G27" s="37">
        <f>ROUND(VLOOKUP($C27,Database!$B$8:$P$994,9,0),0)</f>
        <v>49004</v>
      </c>
      <c r="H27" s="41">
        <v>70000</v>
      </c>
      <c r="I27" s="41">
        <v>65339</v>
      </c>
    </row>
    <row r="28" spans="2:9" ht="20.100000000000001" customHeight="1" x14ac:dyDescent="0.2">
      <c r="B28" s="31" t="s">
        <v>1826</v>
      </c>
      <c r="C28" s="36" t="s">
        <v>1970</v>
      </c>
      <c r="D28" s="37">
        <f>ROUND(VLOOKUP($C28,Database!$B$8:$P$994,2,0),0)</f>
        <v>41959</v>
      </c>
      <c r="E28" s="95">
        <f t="shared" si="6"/>
        <v>45535</v>
      </c>
      <c r="F28" s="37">
        <f>ROUND(VLOOKUP($C28,Database!$B$8:$P$994,3,0),0)</f>
        <v>3400</v>
      </c>
      <c r="G28" s="37">
        <f>ROUND(VLOOKUP($C28,Database!$B$8:$P$994,9,0),0)</f>
        <v>42135</v>
      </c>
      <c r="H28" s="41">
        <v>30500</v>
      </c>
      <c r="I28" s="41">
        <v>37942</v>
      </c>
    </row>
    <row r="29" spans="2:9" ht="30" customHeight="1" x14ac:dyDescent="0.25">
      <c r="D29" s="43">
        <f t="shared" ref="D29:E29" si="7">SUM(D27:D28)</f>
        <v>109959</v>
      </c>
      <c r="E29" s="43">
        <f t="shared" si="7"/>
        <v>112039</v>
      </c>
      <c r="F29" s="43">
        <f>SUM(F27:F28)</f>
        <v>20900</v>
      </c>
      <c r="G29" s="43">
        <f>SUM(G27:G28)</f>
        <v>91139</v>
      </c>
      <c r="H29" s="43">
        <f>SUM(H27:H28)</f>
        <v>100500</v>
      </c>
      <c r="I29" s="43">
        <f>SUM(I27:I28)</f>
        <v>103281</v>
      </c>
    </row>
    <row r="30" spans="2:9" ht="20.100000000000001" customHeight="1" x14ac:dyDescent="0.2">
      <c r="F30" s="41"/>
      <c r="G30" s="41"/>
      <c r="H30" s="41"/>
      <c r="I30" s="41"/>
    </row>
    <row r="31" spans="2:9" ht="20.100000000000001" customHeight="1" x14ac:dyDescent="0.25">
      <c r="B31" s="31" t="s">
        <v>1952</v>
      </c>
      <c r="C31" s="36" t="s">
        <v>1973</v>
      </c>
      <c r="D31" s="37">
        <f>ROUND(VLOOKUP($C31,Database!$B$8:$P$994,2,0),0)</f>
        <v>69677</v>
      </c>
      <c r="E31" s="95">
        <f>F31+G31</f>
        <v>65089</v>
      </c>
      <c r="F31" s="37">
        <f>ROUND(VLOOKUP($C31,Database!$B$8:$P$994,3,0),0)</f>
        <v>15890</v>
      </c>
      <c r="G31" s="38">
        <f>ROUND(VLOOKUP($C31,Database!$B$8:$P$994,9,0),0)</f>
        <v>49199</v>
      </c>
      <c r="H31" s="44">
        <v>81900</v>
      </c>
      <c r="I31" s="44">
        <v>59933</v>
      </c>
    </row>
    <row r="32" spans="2:9" ht="30" customHeight="1" x14ac:dyDescent="0.25">
      <c r="D32" s="43">
        <f t="shared" ref="D32" si="8">D17+D25+D29+D31</f>
        <v>242367</v>
      </c>
      <c r="E32" s="43">
        <f>E17+E25+E29+E31</f>
        <v>238046</v>
      </c>
      <c r="F32" s="43">
        <f>F17+F25+F29+F31</f>
        <v>43076</v>
      </c>
      <c r="G32" s="43">
        <f>G17+G25+G29+G31</f>
        <v>194970</v>
      </c>
      <c r="H32" s="43">
        <f>H17+H25+H29+H31</f>
        <v>247500</v>
      </c>
      <c r="I32" s="43">
        <f>I17+I25+I29+I31</f>
        <v>214021</v>
      </c>
    </row>
    <row r="33" spans="1:9" ht="30" customHeight="1" x14ac:dyDescent="0.25">
      <c r="A33" s="32" t="s">
        <v>1974</v>
      </c>
      <c r="D33" s="46">
        <f t="shared" ref="D33:E33" si="9">D11-D32</f>
        <v>-20030</v>
      </c>
      <c r="E33" s="46">
        <f t="shared" si="9"/>
        <v>-58442</v>
      </c>
      <c r="F33" s="46">
        <f>F11-F32</f>
        <v>-24340</v>
      </c>
      <c r="G33" s="46">
        <f>G11-G32</f>
        <v>-34102</v>
      </c>
      <c r="H33" s="46">
        <f>H11-H32</f>
        <v>-78500</v>
      </c>
      <c r="I33" s="46">
        <f>I11-I32</f>
        <v>-41869</v>
      </c>
    </row>
    <row r="34" spans="1:9" ht="20.100000000000001" customHeight="1" x14ac:dyDescent="0.2">
      <c r="F34" s="41"/>
      <c r="G34" s="41"/>
      <c r="H34" s="41"/>
      <c r="I34" s="41"/>
    </row>
    <row r="35" spans="1:9" ht="20.100000000000001" customHeight="1" x14ac:dyDescent="0.25">
      <c r="A35" s="32" t="s">
        <v>1814</v>
      </c>
      <c r="F35" s="41"/>
      <c r="G35" s="41"/>
      <c r="H35" s="41"/>
      <c r="I35" s="41"/>
    </row>
    <row r="36" spans="1:9" ht="20.100000000000001" customHeight="1" x14ac:dyDescent="0.2">
      <c r="B36" s="31" t="s">
        <v>1940</v>
      </c>
      <c r="C36" s="36" t="s">
        <v>1975</v>
      </c>
      <c r="D36" s="37">
        <f>-ROUND(VLOOKUP($C36,Database!$B$8:$P$994,2,0),0)</f>
        <v>10000</v>
      </c>
      <c r="E36" s="95">
        <f>F36+G36</f>
        <v>75000</v>
      </c>
      <c r="F36" s="37">
        <f>ROUND(VLOOKUP($C36,Database!$B$8:$P$994,3,0),0)</f>
        <v>0</v>
      </c>
      <c r="G36" s="37">
        <f>-ROUND(VLOOKUP($C36,Database!$B$8:$P$994,9,0),0)</f>
        <v>75000</v>
      </c>
      <c r="H36" s="41">
        <v>0</v>
      </c>
      <c r="I36" s="41">
        <v>339710</v>
      </c>
    </row>
    <row r="37" spans="1:9" ht="30" customHeight="1" x14ac:dyDescent="0.25">
      <c r="A37" s="32" t="s">
        <v>1976</v>
      </c>
      <c r="D37" s="46">
        <f t="shared" ref="D37:E37" si="10">D33+D36</f>
        <v>-10030</v>
      </c>
      <c r="E37" s="46">
        <f t="shared" si="10"/>
        <v>16558</v>
      </c>
      <c r="F37" s="46">
        <f>F33+F36</f>
        <v>-24340</v>
      </c>
      <c r="G37" s="46">
        <f>G33+G36</f>
        <v>40898</v>
      </c>
      <c r="H37" s="46">
        <f>H33+H36</f>
        <v>-78500</v>
      </c>
      <c r="I37" s="46">
        <f>I33+I36</f>
        <v>297841</v>
      </c>
    </row>
    <row r="38" spans="1:9" x14ac:dyDescent="0.2">
      <c r="F38" s="41"/>
      <c r="G38" s="41"/>
      <c r="H38" s="41"/>
      <c r="I38" s="41"/>
    </row>
    <row r="39" spans="1:9" x14ac:dyDescent="0.2">
      <c r="F39" s="41"/>
      <c r="G39" s="41"/>
      <c r="H39" s="41"/>
      <c r="I39" s="41"/>
    </row>
    <row r="40" spans="1:9" x14ac:dyDescent="0.2">
      <c r="B40" s="31" t="s">
        <v>2324</v>
      </c>
      <c r="F40" s="41"/>
      <c r="G40" s="41"/>
      <c r="H40" s="41"/>
      <c r="I40" s="41"/>
    </row>
    <row r="41" spans="1:9" x14ac:dyDescent="0.2">
      <c r="B41" s="31" t="s">
        <v>2325</v>
      </c>
      <c r="D41" s="235">
        <f>D37</f>
        <v>-10030</v>
      </c>
      <c r="F41" s="41"/>
      <c r="G41" s="41"/>
      <c r="H41" s="41"/>
      <c r="I41" s="41"/>
    </row>
    <row r="42" spans="1:9" x14ac:dyDescent="0.2">
      <c r="B42" s="31" t="s">
        <v>2327</v>
      </c>
      <c r="D42" s="60">
        <f>D27</f>
        <v>68000</v>
      </c>
      <c r="F42" s="41"/>
      <c r="G42" s="41"/>
      <c r="H42" s="41"/>
      <c r="I42" s="41"/>
    </row>
    <row r="43" spans="1:9" x14ac:dyDescent="0.2">
      <c r="B43" s="31" t="s">
        <v>2326</v>
      </c>
      <c r="D43" s="31">
        <f>-54144+9606</f>
        <v>-44538</v>
      </c>
      <c r="F43" s="41"/>
      <c r="G43" s="41"/>
      <c r="H43" s="41"/>
      <c r="I43" s="41"/>
    </row>
    <row r="44" spans="1:9" x14ac:dyDescent="0.2">
      <c r="D44" s="235">
        <f>SUM(D41:D43)</f>
        <v>13432</v>
      </c>
    </row>
    <row r="45" spans="1:9" x14ac:dyDescent="0.2">
      <c r="B45" s="331" t="s">
        <v>2491</v>
      </c>
      <c r="C45" s="331"/>
      <c r="D45" s="331">
        <v>55000</v>
      </c>
    </row>
  </sheetData>
  <pageMargins left="0" right="0" top="0.15748031496062992" bottom="0.15748031496062992" header="0.11811023622047245" footer="0.11811023622047245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FE02-226D-4EF1-808B-24A2B6510BC2}">
  <sheetPr>
    <pageSetUpPr fitToPage="1"/>
  </sheetPr>
  <dimension ref="A1:J50"/>
  <sheetViews>
    <sheetView topLeftCell="A24" zoomScaleNormal="100" workbookViewId="0">
      <selection activeCell="A24" sqref="A24"/>
    </sheetView>
  </sheetViews>
  <sheetFormatPr defaultRowHeight="15" x14ac:dyDescent="0.2"/>
  <cols>
    <col min="1" max="1" width="9.140625" style="31"/>
    <col min="2" max="2" width="31.28515625" style="31" customWidth="1"/>
    <col min="3" max="3" width="11.28515625" style="31" hidden="1" customWidth="1"/>
    <col min="4" max="4" width="19.42578125" style="31" customWidth="1"/>
    <col min="5" max="5" width="25.28515625" style="31" customWidth="1"/>
    <col min="6" max="7" width="15.7109375" style="31" hidden="1" customWidth="1"/>
    <col min="8" max="8" width="19.7109375" style="31" customWidth="1"/>
    <col min="9" max="9" width="20" style="31" customWidth="1"/>
    <col min="10" max="10" width="34.42578125" style="31" customWidth="1"/>
    <col min="11" max="16384" width="9.140625" style="31"/>
  </cols>
  <sheetData>
    <row r="1" spans="1:9" ht="18" x14ac:dyDescent="0.25">
      <c r="A1" s="53" t="s">
        <v>1803</v>
      </c>
      <c r="B1" s="54"/>
      <c r="C1" s="54"/>
      <c r="D1" s="54"/>
      <c r="E1" s="54"/>
      <c r="F1" s="54"/>
      <c r="G1" s="54"/>
      <c r="H1" s="54"/>
      <c r="I1" s="54"/>
    </row>
    <row r="2" spans="1:9" ht="18" x14ac:dyDescent="0.25">
      <c r="A2" s="53" t="s">
        <v>1955</v>
      </c>
      <c r="B2" s="54"/>
      <c r="C2" s="54"/>
      <c r="D2" s="54"/>
      <c r="E2" s="54"/>
      <c r="F2" s="54"/>
      <c r="G2" s="54"/>
      <c r="H2" s="54"/>
      <c r="I2" s="54"/>
    </row>
    <row r="3" spans="1:9" ht="18" x14ac:dyDescent="0.25">
      <c r="A3" s="53" t="s">
        <v>2081</v>
      </c>
      <c r="B3" s="54"/>
      <c r="C3" s="54"/>
      <c r="D3" s="54"/>
      <c r="E3" s="54"/>
      <c r="F3" s="54"/>
      <c r="G3" s="54"/>
      <c r="H3" s="54"/>
      <c r="I3" s="54"/>
    </row>
    <row r="5" spans="1:9" ht="15.75" thickBot="1" x14ac:dyDescent="0.25"/>
    <row r="6" spans="1:9" ht="30" customHeight="1" thickTop="1" thickBot="1" x14ac:dyDescent="0.25">
      <c r="A6" s="50"/>
      <c r="B6" s="50"/>
      <c r="C6" s="50"/>
      <c r="D6" s="85" t="s">
        <v>2080</v>
      </c>
      <c r="E6" s="85" t="s">
        <v>2079</v>
      </c>
      <c r="F6" s="85" t="s">
        <v>2078</v>
      </c>
      <c r="G6" s="85" t="s">
        <v>2041</v>
      </c>
      <c r="H6" s="85" t="s">
        <v>2042</v>
      </c>
      <c r="I6" s="85" t="s">
        <v>2040</v>
      </c>
    </row>
    <row r="7" spans="1:9" ht="30" customHeight="1" thickTop="1" x14ac:dyDescent="0.3">
      <c r="B7" s="341" t="s">
        <v>2499</v>
      </c>
      <c r="F7" s="82"/>
      <c r="G7" s="64" t="s">
        <v>2077</v>
      </c>
      <c r="H7" s="82"/>
      <c r="I7" s="82"/>
    </row>
    <row r="8" spans="1:9" ht="20.100000000000001" customHeight="1" x14ac:dyDescent="0.25">
      <c r="A8" s="32" t="s">
        <v>1805</v>
      </c>
    </row>
    <row r="9" spans="1:9" ht="20.100000000000001" customHeight="1" x14ac:dyDescent="0.2">
      <c r="B9" s="31" t="s">
        <v>1942</v>
      </c>
      <c r="C9" s="36" t="s">
        <v>1958</v>
      </c>
      <c r="D9" s="37">
        <f>-ROUND(VLOOKUP($C9,Database!$B$8:$P$994,2,0),0)</f>
        <v>75000</v>
      </c>
      <c r="E9" s="95">
        <f>F9+G9</f>
        <v>59220</v>
      </c>
      <c r="F9" s="37">
        <f>-ROUND(VLOOKUP($C9,Database!$B$8:$P$994,3,0),0)</f>
        <v>0</v>
      </c>
      <c r="G9" s="37">
        <f>-ROUND(VLOOKUP($C9,Database!$B$8:$P$994,9,0),0)</f>
        <v>59220</v>
      </c>
      <c r="H9" s="41">
        <v>60000</v>
      </c>
      <c r="I9" s="41">
        <v>58450</v>
      </c>
    </row>
    <row r="10" spans="1:9" ht="20.100000000000001" customHeight="1" x14ac:dyDescent="0.2">
      <c r="B10" s="31" t="s">
        <v>1943</v>
      </c>
      <c r="C10" s="36" t="s">
        <v>1959</v>
      </c>
      <c r="D10" s="37">
        <f>-ROUND(VLOOKUP($C10,Database!$B$8:$P$994,2,0),0)</f>
        <v>53743</v>
      </c>
      <c r="E10" s="95">
        <f t="shared" ref="E10:E13" si="0">F10+G10</f>
        <v>43872</v>
      </c>
      <c r="F10" s="37">
        <f>-ROUND(VLOOKUP($C10,Database!$B$8:$P$994,3,0),0)</f>
        <v>10968</v>
      </c>
      <c r="G10" s="37">
        <f>-ROUND(VLOOKUP($C10,Database!$B$8:$P$994,9,0),0)</f>
        <v>32904</v>
      </c>
      <c r="H10" s="41">
        <v>40000</v>
      </c>
      <c r="I10" s="41">
        <v>40715</v>
      </c>
    </row>
    <row r="11" spans="1:9" ht="20.100000000000001" customHeight="1" x14ac:dyDescent="0.2">
      <c r="B11" s="31" t="s">
        <v>764</v>
      </c>
      <c r="C11" s="36" t="s">
        <v>1698</v>
      </c>
      <c r="D11" s="37">
        <f>-ROUND(VLOOKUP($C11,Database!$B$8:$P$994,2,0),0)</f>
        <v>2250</v>
      </c>
      <c r="E11" s="95">
        <f t="shared" si="0"/>
        <v>2330</v>
      </c>
      <c r="F11" s="37">
        <f>-ROUND(VLOOKUP($C11,Database!$B$8:$P$994,3,0),0)</f>
        <v>200</v>
      </c>
      <c r="G11" s="37">
        <f>-ROUND(VLOOKUP($C11,Database!$B$8:$P$994,9,0),0)</f>
        <v>2130</v>
      </c>
      <c r="H11" s="41">
        <v>3000</v>
      </c>
      <c r="I11" s="41">
        <v>3466</v>
      </c>
    </row>
    <row r="12" spans="1:9" ht="20.100000000000001" customHeight="1" x14ac:dyDescent="0.2">
      <c r="B12" s="31" t="s">
        <v>1956</v>
      </c>
      <c r="C12" s="36" t="s">
        <v>1960</v>
      </c>
      <c r="D12" s="37">
        <f>-ROUND(VLOOKUP($C12,Database!$B$8:$P$994,2,0),0)</f>
        <v>46550</v>
      </c>
      <c r="E12" s="95">
        <f t="shared" si="0"/>
        <v>38000</v>
      </c>
      <c r="F12" s="37">
        <f>-ROUND(VLOOKUP($C12,Database!$B$8:$P$994,3,0),0)</f>
        <v>0</v>
      </c>
      <c r="G12" s="37">
        <f>-ROUND(VLOOKUP($C12,Database!$B$8:$P$994,9,0),0)</f>
        <v>38000</v>
      </c>
      <c r="H12" s="41">
        <v>38000</v>
      </c>
      <c r="I12" s="41">
        <v>38000</v>
      </c>
    </row>
    <row r="13" spans="1:9" ht="20.100000000000001" customHeight="1" x14ac:dyDescent="0.2">
      <c r="B13" s="31" t="s">
        <v>1957</v>
      </c>
      <c r="C13" s="36" t="s">
        <v>1961</v>
      </c>
      <c r="D13" s="37">
        <f>-ROUND(VLOOKUP($C13,Database!$B$8:$P$994,2,0),0)</f>
        <v>400</v>
      </c>
      <c r="E13" s="95">
        <f t="shared" si="0"/>
        <v>800</v>
      </c>
      <c r="F13" s="37">
        <f>-ROUND(VLOOKUP($C13,Database!$B$8:$P$994,3,0),0)</f>
        <v>0</v>
      </c>
      <c r="G13" s="37">
        <f>-ROUND(VLOOKUP($C13,Database!$B$8:$P$994,9,0),0)</f>
        <v>800</v>
      </c>
      <c r="H13" s="41">
        <v>0</v>
      </c>
      <c r="I13" s="41">
        <v>120</v>
      </c>
    </row>
    <row r="14" spans="1:9" ht="30" customHeight="1" x14ac:dyDescent="0.25">
      <c r="D14" s="43">
        <f t="shared" ref="D14:E14" si="1">SUM(D9:D13)</f>
        <v>177943</v>
      </c>
      <c r="E14" s="43">
        <f t="shared" si="1"/>
        <v>144222</v>
      </c>
      <c r="F14" s="43">
        <f>SUM(F9:F13)</f>
        <v>11168</v>
      </c>
      <c r="G14" s="43">
        <f>SUM(G9:G13)</f>
        <v>133054</v>
      </c>
      <c r="H14" s="43">
        <f>SUM(H9:H13)</f>
        <v>141000</v>
      </c>
      <c r="I14" s="43">
        <f>SUM(I9:I13)</f>
        <v>140751</v>
      </c>
    </row>
    <row r="15" spans="1:9" ht="20.100000000000001" customHeight="1" x14ac:dyDescent="0.25">
      <c r="A15" s="32" t="s">
        <v>1819</v>
      </c>
      <c r="F15" s="41"/>
      <c r="G15" s="41"/>
      <c r="H15" s="41"/>
      <c r="I15" s="41"/>
    </row>
    <row r="16" spans="1:9" ht="20.100000000000001" customHeight="1" x14ac:dyDescent="0.25">
      <c r="B16" s="32" t="s">
        <v>1944</v>
      </c>
      <c r="C16" s="32"/>
      <c r="D16" s="32"/>
      <c r="E16" s="32"/>
      <c r="F16" s="41"/>
      <c r="G16" s="41"/>
      <c r="H16" s="41"/>
      <c r="I16" s="41"/>
    </row>
    <row r="17" spans="2:9" ht="20.100000000000001" customHeight="1" x14ac:dyDescent="0.2">
      <c r="B17" s="31" t="s">
        <v>1945</v>
      </c>
      <c r="C17" s="36" t="s">
        <v>1978</v>
      </c>
      <c r="D17" s="37">
        <f>ROUND(VLOOKUP($C17,Database!$B$8:$P$994,2,0),0)</f>
        <v>27600</v>
      </c>
      <c r="E17" s="95">
        <f t="shared" ref="E17:E20" si="2">F17+G17</f>
        <v>26400</v>
      </c>
      <c r="F17" s="37">
        <f>ROUND(VLOOKUP($C17,Database!$B$8:$P$994,3,0),0)</f>
        <v>0</v>
      </c>
      <c r="G17" s="37">
        <f>ROUND(VLOOKUP($C17,Database!$B$8:$P$994,9,0),0)</f>
        <v>26400</v>
      </c>
      <c r="H17" s="41">
        <v>26400</v>
      </c>
      <c r="I17" s="41">
        <v>29200</v>
      </c>
    </row>
    <row r="18" spans="2:9" ht="20.100000000000001" customHeight="1" x14ac:dyDescent="0.2">
      <c r="B18" s="31" t="s">
        <v>1895</v>
      </c>
      <c r="C18" s="36" t="s">
        <v>1988</v>
      </c>
      <c r="D18" s="37">
        <f>ROUND(VLOOKUP($C18,Database!$B$8:$P$994,2,0),0)</f>
        <v>20000</v>
      </c>
      <c r="E18" s="95">
        <f t="shared" si="2"/>
        <v>19936</v>
      </c>
      <c r="F18" s="37">
        <f>ROUND(VLOOKUP($C18,Database!$B$8:$P$994,3,0),0)</f>
        <v>2000</v>
      </c>
      <c r="G18" s="37">
        <f>ROUND(VLOOKUP($C18,Database!$B$8:$P$994,9,0),0)</f>
        <v>17936</v>
      </c>
      <c r="H18" s="41">
        <v>20000</v>
      </c>
      <c r="I18" s="41">
        <v>18438</v>
      </c>
    </row>
    <row r="19" spans="2:9" ht="20.100000000000001" customHeight="1" x14ac:dyDescent="0.2">
      <c r="B19" s="31" t="s">
        <v>1896</v>
      </c>
      <c r="C19" s="36" t="s">
        <v>1981</v>
      </c>
      <c r="D19" s="37">
        <f>ROUND(VLOOKUP($C19,Database!$B$8:$P$994,2,0),0)</f>
        <v>8500</v>
      </c>
      <c r="E19" s="95">
        <f t="shared" si="2"/>
        <v>8307</v>
      </c>
      <c r="F19" s="37">
        <f>ROUND(VLOOKUP($C19,Database!$B$8:$P$994,3,0),0)</f>
        <v>800</v>
      </c>
      <c r="G19" s="37">
        <f>ROUND(VLOOKUP($C19,Database!$B$8:$P$994,9,0),0)</f>
        <v>7507</v>
      </c>
      <c r="H19" s="41">
        <v>15000</v>
      </c>
      <c r="I19" s="41">
        <v>9147</v>
      </c>
    </row>
    <row r="20" spans="2:9" ht="20.100000000000001" customHeight="1" x14ac:dyDescent="0.2">
      <c r="B20" s="31" t="s">
        <v>1985</v>
      </c>
      <c r="C20" s="36" t="s">
        <v>1986</v>
      </c>
      <c r="D20" s="37">
        <f>ROUND(VLOOKUP($C20,Database!$B$8:$P$994,2,0),0)</f>
        <v>5000</v>
      </c>
      <c r="E20" s="95">
        <f t="shared" si="2"/>
        <v>4320</v>
      </c>
      <c r="F20" s="37">
        <f>ROUND(VLOOKUP($C20,Database!$B$8:$P$994,3,0),0)</f>
        <v>600</v>
      </c>
      <c r="G20" s="37">
        <f>ROUND(VLOOKUP($C20,Database!$B$8:$P$994,9,0),0)</f>
        <v>3720</v>
      </c>
      <c r="H20" s="41">
        <v>7500</v>
      </c>
      <c r="I20" s="41">
        <v>5967</v>
      </c>
    </row>
    <row r="21" spans="2:9" ht="30" customHeight="1" x14ac:dyDescent="0.25">
      <c r="D21" s="43">
        <f t="shared" ref="D21:E21" si="3">SUM(D17:D20)</f>
        <v>61100</v>
      </c>
      <c r="E21" s="43">
        <f t="shared" si="3"/>
        <v>58963</v>
      </c>
      <c r="F21" s="43">
        <f>SUM(F17:F20)</f>
        <v>3400</v>
      </c>
      <c r="G21" s="43">
        <f>SUM(G17:G20)</f>
        <v>55563</v>
      </c>
      <c r="H21" s="43">
        <f>SUM(H17:H20)</f>
        <v>68900</v>
      </c>
      <c r="I21" s="43">
        <f>SUM(I17:I20)</f>
        <v>62752</v>
      </c>
    </row>
    <row r="22" spans="2:9" ht="20.100000000000001" customHeight="1" x14ac:dyDescent="0.25">
      <c r="B22" s="32" t="s">
        <v>1951</v>
      </c>
      <c r="C22" s="32"/>
      <c r="D22" s="32"/>
      <c r="E22" s="32"/>
      <c r="F22" s="41"/>
      <c r="G22" s="41"/>
      <c r="H22" s="41"/>
      <c r="I22" s="41"/>
    </row>
    <row r="23" spans="2:9" ht="20.100000000000001" customHeight="1" x14ac:dyDescent="0.2">
      <c r="B23" s="31" t="s">
        <v>1946</v>
      </c>
      <c r="C23" s="36" t="s">
        <v>1987</v>
      </c>
      <c r="D23" s="37">
        <f>ROUND(VLOOKUP($C23,Database!$B$8:$P$994,2,0),0)</f>
        <v>500</v>
      </c>
      <c r="E23" s="95">
        <f t="shared" ref="E23:E28" si="4">F23+G23</f>
        <v>500</v>
      </c>
      <c r="F23" s="37">
        <f>ROUND(VLOOKUP($C23,Database!$B$8:$P$994,3,0),0)</f>
        <v>500</v>
      </c>
      <c r="G23" s="37">
        <f>ROUND(VLOOKUP($C23,Database!$B$8:$P$994,9,0),0)</f>
        <v>0</v>
      </c>
      <c r="H23" s="41">
        <v>0</v>
      </c>
      <c r="I23" s="41">
        <v>0</v>
      </c>
    </row>
    <row r="24" spans="2:9" ht="20.100000000000001" customHeight="1" x14ac:dyDescent="0.2">
      <c r="B24" s="31" t="s">
        <v>1825</v>
      </c>
      <c r="C24" s="36" t="s">
        <v>1983</v>
      </c>
      <c r="D24" s="37">
        <f>ROUND(VLOOKUP($C24,Database!$B$8:$P$994,2,0),0)</f>
        <v>3799</v>
      </c>
      <c r="E24" s="95">
        <f t="shared" si="4"/>
        <v>3166</v>
      </c>
      <c r="F24" s="37">
        <f>ROUND(VLOOKUP($C24,Database!$B$8:$P$994,3,0),0)</f>
        <v>1683</v>
      </c>
      <c r="G24" s="37">
        <f>ROUND(VLOOKUP($C24,Database!$B$8:$P$994,9,0),0)</f>
        <v>1483</v>
      </c>
      <c r="H24" s="41">
        <v>2200</v>
      </c>
      <c r="I24" s="41">
        <v>2489</v>
      </c>
    </row>
    <row r="25" spans="2:9" ht="20.100000000000001" customHeight="1" x14ac:dyDescent="0.2">
      <c r="B25" s="31" t="s">
        <v>1947</v>
      </c>
      <c r="C25" s="36" t="s">
        <v>1984</v>
      </c>
      <c r="D25" s="37">
        <f>ROUND(VLOOKUP($C25,Database!$B$8:$P$994,2,0),0)</f>
        <v>200</v>
      </c>
      <c r="E25" s="95">
        <f t="shared" si="4"/>
        <v>165</v>
      </c>
      <c r="F25" s="37">
        <f>ROUND(VLOOKUP($C25,Database!$B$8:$P$994,3,0),0)</f>
        <v>30</v>
      </c>
      <c r="G25" s="37">
        <f>ROUND(VLOOKUP($C25,Database!$B$8:$P$994,9,0),0)</f>
        <v>135</v>
      </c>
      <c r="H25" s="41">
        <v>200</v>
      </c>
      <c r="I25" s="41">
        <v>220</v>
      </c>
    </row>
    <row r="26" spans="2:9" ht="20.100000000000001" customHeight="1" x14ac:dyDescent="0.2">
      <c r="B26" s="31" t="s">
        <v>1948</v>
      </c>
      <c r="C26" s="36" t="s">
        <v>1989</v>
      </c>
      <c r="D26" s="37">
        <f>ROUND(VLOOKUP($C26,Database!$B$8:$P$994,2,0),0)</f>
        <v>2000</v>
      </c>
      <c r="E26" s="95">
        <f t="shared" si="4"/>
        <v>2000</v>
      </c>
      <c r="F26" s="37">
        <f>ROUND(VLOOKUP($C26,Database!$B$8:$P$994,3,0),0)</f>
        <v>2000</v>
      </c>
      <c r="G26" s="37">
        <f>ROUND(VLOOKUP($C26,Database!$B$8:$P$994,9,0),0)</f>
        <v>0</v>
      </c>
      <c r="H26" s="41">
        <v>2000</v>
      </c>
      <c r="I26" s="41">
        <v>1741</v>
      </c>
    </row>
    <row r="27" spans="2:9" ht="20.100000000000001" customHeight="1" x14ac:dyDescent="0.2">
      <c r="B27" s="31" t="s">
        <v>1949</v>
      </c>
      <c r="C27" s="36" t="s">
        <v>1979</v>
      </c>
      <c r="D27" s="37">
        <f>ROUND(VLOOKUP($C27,Database!$B$8:$P$994,2,0),0)</f>
        <v>6000</v>
      </c>
      <c r="E27" s="95">
        <f t="shared" si="4"/>
        <v>2000</v>
      </c>
      <c r="F27" s="37">
        <f>ROUND(VLOOKUP($C27,Database!$B$8:$P$994,3,0),0)</f>
        <v>2000</v>
      </c>
      <c r="G27" s="37">
        <f>ROUND(VLOOKUP($C27,Database!$B$8:$P$994,9,0),0)</f>
        <v>0</v>
      </c>
      <c r="H27" s="41">
        <v>2500</v>
      </c>
      <c r="I27" s="41">
        <v>1750</v>
      </c>
    </row>
    <row r="28" spans="2:9" ht="20.100000000000001" customHeight="1" x14ac:dyDescent="0.2">
      <c r="B28" s="31" t="s">
        <v>1950</v>
      </c>
      <c r="C28" s="36" t="s">
        <v>1980</v>
      </c>
      <c r="D28" s="37">
        <f>ROUND(VLOOKUP($C28,Database!$B$8:$P$994,2,0),0)</f>
        <v>350</v>
      </c>
      <c r="E28" s="95">
        <f t="shared" si="4"/>
        <v>318</v>
      </c>
      <c r="F28" s="37">
        <f>ROUND(VLOOKUP($C28,Database!$B$8:$P$994,3,0),0)</f>
        <v>0</v>
      </c>
      <c r="G28" s="37">
        <f>ROUND(VLOOKUP($C28,Database!$B$8:$P$994,9,0),0)</f>
        <v>318</v>
      </c>
      <c r="H28" s="41">
        <v>0</v>
      </c>
      <c r="I28" s="41">
        <v>303</v>
      </c>
    </row>
    <row r="29" spans="2:9" ht="30" customHeight="1" x14ac:dyDescent="0.25">
      <c r="D29" s="43">
        <f t="shared" ref="D29:E29" si="5">SUM(D23:D28)</f>
        <v>12849</v>
      </c>
      <c r="E29" s="43">
        <f t="shared" si="5"/>
        <v>8149</v>
      </c>
      <c r="F29" s="43">
        <f>SUM(F23:F28)</f>
        <v>6213</v>
      </c>
      <c r="G29" s="43">
        <f>SUM(G23:G28)</f>
        <v>1936</v>
      </c>
      <c r="H29" s="43">
        <f>SUM(H23:H28)</f>
        <v>6900</v>
      </c>
      <c r="I29" s="43">
        <f>SUM(I23:I28)</f>
        <v>6503</v>
      </c>
    </row>
    <row r="30" spans="2:9" ht="20.100000000000001" customHeight="1" x14ac:dyDescent="0.25">
      <c r="B30" s="32" t="s">
        <v>1814</v>
      </c>
      <c r="C30" s="32"/>
      <c r="D30" s="32"/>
      <c r="E30" s="32"/>
      <c r="F30" s="41"/>
      <c r="G30" s="41"/>
      <c r="H30" s="41"/>
      <c r="I30" s="41"/>
    </row>
    <row r="31" spans="2:9" ht="20.100000000000001" customHeight="1" x14ac:dyDescent="0.2">
      <c r="B31" s="31" t="s">
        <v>1821</v>
      </c>
      <c r="C31" s="36" t="s">
        <v>1990</v>
      </c>
      <c r="D31" s="37">
        <f>ROUND(VLOOKUP($C31,Database!$B$8:$P$994,2,0),0)</f>
        <v>56000</v>
      </c>
      <c r="E31" s="95">
        <f t="shared" ref="E31:E32" si="6">F31+G31</f>
        <v>55129</v>
      </c>
      <c r="F31" s="37">
        <f>ROUND(VLOOKUP($C31,Database!$B$8:$P$994,3,0),0)</f>
        <v>20000</v>
      </c>
      <c r="G31" s="37">
        <f>ROUND(VLOOKUP($C31,Database!$B$8:$P$994,9,0),0)</f>
        <v>35129</v>
      </c>
      <c r="H31" s="41">
        <v>60000</v>
      </c>
      <c r="I31" s="41">
        <v>54890</v>
      </c>
    </row>
    <row r="32" spans="2:9" ht="20.100000000000001" customHeight="1" x14ac:dyDescent="0.2">
      <c r="B32" s="31" t="s">
        <v>1826</v>
      </c>
      <c r="C32" s="36" t="s">
        <v>1982</v>
      </c>
      <c r="D32" s="37">
        <f>ROUND(VLOOKUP($C32,Database!$B$8:$P$994,2,0),0)</f>
        <v>9485</v>
      </c>
      <c r="E32" s="95">
        <f t="shared" si="6"/>
        <v>9985</v>
      </c>
      <c r="F32" s="37">
        <f>ROUND(VLOOKUP($C32,Database!$B$8:$P$994,3,0),0)</f>
        <v>840</v>
      </c>
      <c r="G32" s="37">
        <f>ROUND(VLOOKUP($C32,Database!$B$8:$P$994,9,0),0)</f>
        <v>9145</v>
      </c>
      <c r="H32" s="41">
        <v>26000</v>
      </c>
      <c r="I32" s="41">
        <v>8692</v>
      </c>
    </row>
    <row r="33" spans="1:10" ht="30" customHeight="1" x14ac:dyDescent="0.25">
      <c r="D33" s="43">
        <f t="shared" ref="D33:E33" si="7">SUM(D31:D32)</f>
        <v>65485</v>
      </c>
      <c r="E33" s="43">
        <f t="shared" si="7"/>
        <v>65114</v>
      </c>
      <c r="F33" s="43">
        <f>SUM(F31:F32)</f>
        <v>20840</v>
      </c>
      <c r="G33" s="43">
        <f>SUM(G31:G32)</f>
        <v>44274</v>
      </c>
      <c r="H33" s="43">
        <f>SUM(H31:H32)</f>
        <v>86000</v>
      </c>
      <c r="I33" s="43">
        <f>SUM(I31:I32)</f>
        <v>63582</v>
      </c>
    </row>
    <row r="34" spans="1:10" ht="20.100000000000001" customHeight="1" x14ac:dyDescent="0.2">
      <c r="F34" s="41"/>
      <c r="G34" s="41"/>
      <c r="H34" s="41"/>
      <c r="I34" s="41"/>
    </row>
    <row r="35" spans="1:10" ht="20.100000000000001" customHeight="1" x14ac:dyDescent="0.2">
      <c r="B35" s="31" t="s">
        <v>1952</v>
      </c>
      <c r="C35" s="36" t="s">
        <v>1991</v>
      </c>
      <c r="D35" s="37">
        <f>ROUND(VLOOKUP($C35,Database!$B$8:$P$994,2,0),0)</f>
        <v>69677</v>
      </c>
      <c r="E35" s="95">
        <f>F35+G35</f>
        <v>65089</v>
      </c>
      <c r="F35" s="37">
        <f>ROUND(VLOOKUP($C35,Database!$B$8:$P$994,3,0),0)</f>
        <v>15890</v>
      </c>
      <c r="G35" s="37">
        <f>ROUND(VLOOKUP($C35,Database!$B$8:$P$994,9,0),0)</f>
        <v>49199</v>
      </c>
      <c r="H35" s="41">
        <v>81900</v>
      </c>
      <c r="I35" s="41">
        <v>59933</v>
      </c>
    </row>
    <row r="36" spans="1:10" ht="30" customHeight="1" x14ac:dyDescent="0.25">
      <c r="D36" s="43">
        <f t="shared" ref="D36:E36" si="8">D21+D29+D33+D35</f>
        <v>209111</v>
      </c>
      <c r="E36" s="43">
        <f t="shared" si="8"/>
        <v>197315</v>
      </c>
      <c r="F36" s="43">
        <f>F21+F29+F33+F35</f>
        <v>46343</v>
      </c>
      <c r="G36" s="43">
        <f>G21+G29+G33+G35</f>
        <v>150972</v>
      </c>
      <c r="H36" s="43">
        <f>H21+H29+H33+H35</f>
        <v>243700</v>
      </c>
      <c r="I36" s="43">
        <f>I21+I29+I33+I35</f>
        <v>192770</v>
      </c>
    </row>
    <row r="37" spans="1:10" ht="30" customHeight="1" x14ac:dyDescent="0.25">
      <c r="A37" s="32" t="s">
        <v>2310</v>
      </c>
      <c r="D37" s="44">
        <f t="shared" ref="D37:E37" si="9">D14-D36</f>
        <v>-31168</v>
      </c>
      <c r="E37" s="44">
        <f t="shared" si="9"/>
        <v>-53093</v>
      </c>
      <c r="F37" s="44">
        <f>F14-F36</f>
        <v>-35175</v>
      </c>
      <c r="G37" s="44">
        <f>G14-G36</f>
        <v>-17918</v>
      </c>
      <c r="H37" s="44">
        <f>H14-H36</f>
        <v>-102700</v>
      </c>
      <c r="I37" s="44">
        <f>I14-I36</f>
        <v>-52019</v>
      </c>
    </row>
    <row r="38" spans="1:10" ht="20.100000000000001" customHeight="1" x14ac:dyDescent="0.2">
      <c r="F38" s="41"/>
      <c r="G38" s="41"/>
      <c r="H38" s="41"/>
      <c r="I38" s="41"/>
    </row>
    <row r="39" spans="1:10" ht="20.100000000000001" customHeight="1" x14ac:dyDescent="0.25">
      <c r="A39" s="32" t="s">
        <v>1814</v>
      </c>
      <c r="F39" s="41"/>
      <c r="G39" s="41"/>
      <c r="H39" s="41"/>
      <c r="I39" s="41"/>
    </row>
    <row r="40" spans="1:10" ht="20.100000000000001" customHeight="1" x14ac:dyDescent="0.2">
      <c r="B40" s="31" t="s">
        <v>1940</v>
      </c>
      <c r="C40" s="36" t="s">
        <v>1977</v>
      </c>
      <c r="D40" s="37">
        <f>-ROUND(VLOOKUP($C40,Database!$B$8:$P$994,2,0),0)</f>
        <v>10000</v>
      </c>
      <c r="E40" s="95">
        <f>F40+G40</f>
        <v>-290</v>
      </c>
      <c r="F40" s="37">
        <f>ROUND(VLOOKUP($C40,Database!$B$8:$P$994,3,0),0)</f>
        <v>0</v>
      </c>
      <c r="G40" s="37">
        <f>-ROUND(VLOOKUP($C40,Database!$B$8:$P$994,9,0),0)</f>
        <v>-290</v>
      </c>
      <c r="H40" s="41">
        <v>0</v>
      </c>
      <c r="I40" s="41">
        <v>371393</v>
      </c>
    </row>
    <row r="41" spans="1:10" ht="30" customHeight="1" x14ac:dyDescent="0.25">
      <c r="D41" s="43">
        <f t="shared" ref="D41" si="10">SUM(D40:D40)</f>
        <v>10000</v>
      </c>
      <c r="E41" s="43">
        <f>SUM(E40:E40)</f>
        <v>-290</v>
      </c>
      <c r="F41" s="43">
        <f>SUM(F40:F40)</f>
        <v>0</v>
      </c>
      <c r="G41" s="43">
        <f>SUM(G40:G40)</f>
        <v>-290</v>
      </c>
      <c r="H41" s="43">
        <f>SUM(H40:H40)</f>
        <v>0</v>
      </c>
      <c r="I41" s="43">
        <f>SUM(I40:I40)</f>
        <v>371393</v>
      </c>
    </row>
    <row r="42" spans="1:10" ht="30" customHeight="1" x14ac:dyDescent="0.25">
      <c r="A42" s="32" t="s">
        <v>1817</v>
      </c>
      <c r="D42" s="219">
        <f>D37+D41</f>
        <v>-21168</v>
      </c>
      <c r="E42" s="219">
        <f t="shared" ref="E42:I42" si="11">E37+E41</f>
        <v>-53383</v>
      </c>
      <c r="F42" s="219">
        <f t="shared" si="11"/>
        <v>-35175</v>
      </c>
      <c r="G42" s="219">
        <f t="shared" si="11"/>
        <v>-18208</v>
      </c>
      <c r="H42" s="219">
        <f t="shared" si="11"/>
        <v>-102700</v>
      </c>
      <c r="I42" s="337">
        <f t="shared" si="11"/>
        <v>319374</v>
      </c>
      <c r="J42" s="220" t="s">
        <v>2311</v>
      </c>
    </row>
    <row r="43" spans="1:10" x14ac:dyDescent="0.2">
      <c r="F43" s="41"/>
      <c r="G43" s="41"/>
      <c r="H43" s="41"/>
      <c r="I43" s="41"/>
    </row>
    <row r="44" spans="1:10" x14ac:dyDescent="0.2">
      <c r="F44" s="41"/>
      <c r="G44" s="41"/>
      <c r="H44" s="41"/>
      <c r="I44" s="41"/>
    </row>
    <row r="45" spans="1:10" x14ac:dyDescent="0.2">
      <c r="B45" s="31" t="s">
        <v>2324</v>
      </c>
      <c r="F45" s="41"/>
      <c r="G45" s="41"/>
      <c r="H45" s="41"/>
      <c r="I45" s="41"/>
    </row>
    <row r="46" spans="1:10" x14ac:dyDescent="0.2">
      <c r="B46" s="31" t="s">
        <v>2325</v>
      </c>
      <c r="D46" s="235">
        <f>D42</f>
        <v>-21168</v>
      </c>
      <c r="F46" s="41"/>
      <c r="G46" s="41"/>
      <c r="H46" s="41"/>
      <c r="I46" s="41"/>
    </row>
    <row r="47" spans="1:10" x14ac:dyDescent="0.2">
      <c r="B47" s="31" t="s">
        <v>2327</v>
      </c>
      <c r="D47" s="60">
        <f>D31</f>
        <v>56000</v>
      </c>
      <c r="F47" s="41"/>
      <c r="G47" s="41"/>
      <c r="H47" s="41"/>
      <c r="I47" s="41"/>
    </row>
    <row r="48" spans="1:10" x14ac:dyDescent="0.2">
      <c r="B48" s="31" t="s">
        <v>2326</v>
      </c>
      <c r="D48" s="31">
        <v>-9606</v>
      </c>
      <c r="F48" s="41"/>
      <c r="G48" s="41"/>
      <c r="H48" s="41"/>
      <c r="I48" s="41"/>
    </row>
    <row r="49" spans="2:4" x14ac:dyDescent="0.2">
      <c r="D49" s="235">
        <f>SUM(D46:D48)</f>
        <v>25226</v>
      </c>
    </row>
    <row r="50" spans="2:4" x14ac:dyDescent="0.2">
      <c r="B50" s="331" t="s">
        <v>2492</v>
      </c>
      <c r="C50" s="331"/>
      <c r="D50" s="331">
        <v>48000</v>
      </c>
    </row>
  </sheetData>
  <pageMargins left="0" right="0" top="0.15748031496062992" bottom="0.15748031496062992" header="0.11811023622047245" footer="0.11811023622047245"/>
  <pageSetup scale="8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9604-8DFA-42FC-A2A2-7CBB3A3C10EB}">
  <sheetPr>
    <pageSetUpPr fitToPage="1"/>
  </sheetPr>
  <dimension ref="A1:L93"/>
  <sheetViews>
    <sheetView zoomScale="75" zoomScaleNormal="75" workbookViewId="0">
      <selection activeCell="P14" sqref="P14"/>
    </sheetView>
  </sheetViews>
  <sheetFormatPr defaultRowHeight="15" x14ac:dyDescent="0.2"/>
  <cols>
    <col min="1" max="1" width="5" style="31" customWidth="1"/>
    <col min="2" max="2" width="35" style="31" customWidth="1"/>
    <col min="3" max="3" width="0.140625" style="31" customWidth="1"/>
    <col min="4" max="4" width="15.7109375" style="31" customWidth="1"/>
    <col min="5" max="5" width="18.140625" style="31" customWidth="1"/>
    <col min="6" max="6" width="0.28515625" style="31" customWidth="1"/>
    <col min="7" max="7" width="15.7109375" style="31" hidden="1" customWidth="1"/>
    <col min="8" max="9" width="15.7109375" style="31" customWidth="1"/>
    <col min="10" max="10" width="24.85546875" style="31" bestFit="1" customWidth="1"/>
    <col min="11" max="16384" width="9.140625" style="31"/>
  </cols>
  <sheetData>
    <row r="1" spans="1:9" ht="18" x14ac:dyDescent="0.25">
      <c r="A1" s="53" t="s">
        <v>1803</v>
      </c>
      <c r="B1" s="54"/>
      <c r="C1" s="54"/>
      <c r="D1" s="54"/>
      <c r="E1" s="54"/>
      <c r="F1" s="54"/>
      <c r="G1" s="54"/>
      <c r="H1" s="54"/>
      <c r="I1" s="54"/>
    </row>
    <row r="2" spans="1:9" ht="18" x14ac:dyDescent="0.25">
      <c r="A2" s="53" t="s">
        <v>2037</v>
      </c>
      <c r="B2" s="54"/>
      <c r="C2" s="54"/>
      <c r="D2" s="54"/>
      <c r="E2" s="54"/>
      <c r="F2" s="54"/>
      <c r="G2" s="54"/>
      <c r="H2" s="54"/>
      <c r="I2" s="54"/>
    </row>
    <row r="3" spans="1:9" ht="18" x14ac:dyDescent="0.25">
      <c r="A3" s="53" t="s">
        <v>2081</v>
      </c>
      <c r="B3" s="54"/>
      <c r="C3" s="54"/>
      <c r="D3" s="54"/>
      <c r="E3" s="54"/>
      <c r="F3" s="54"/>
      <c r="G3" s="54"/>
      <c r="H3" s="54"/>
      <c r="I3" s="54"/>
    </row>
    <row r="5" spans="1:9" ht="15.75" thickBot="1" x14ac:dyDescent="0.25"/>
    <row r="6" spans="1:9" ht="30" customHeight="1" thickTop="1" thickBot="1" x14ac:dyDescent="0.25">
      <c r="A6" s="50"/>
      <c r="B6" s="50"/>
      <c r="C6" s="50"/>
      <c r="D6" s="85" t="s">
        <v>2080</v>
      </c>
      <c r="E6" s="85" t="s">
        <v>2079</v>
      </c>
      <c r="F6" s="85" t="s">
        <v>2078</v>
      </c>
      <c r="G6" s="85" t="s">
        <v>2041</v>
      </c>
      <c r="H6" s="85" t="s">
        <v>2042</v>
      </c>
      <c r="I6" s="85" t="s">
        <v>2040</v>
      </c>
    </row>
    <row r="7" spans="1:9" ht="30" customHeight="1" thickTop="1" thickBot="1" x14ac:dyDescent="0.25">
      <c r="D7" s="64"/>
      <c r="E7" s="64"/>
      <c r="F7" s="64"/>
      <c r="G7" s="64" t="s">
        <v>2077</v>
      </c>
      <c r="H7" s="64"/>
      <c r="I7" s="64"/>
    </row>
    <row r="8" spans="1:9" ht="20.100000000000001" customHeight="1" thickTop="1" x14ac:dyDescent="0.25">
      <c r="A8" s="32" t="s">
        <v>1805</v>
      </c>
      <c r="F8" s="64"/>
      <c r="G8" s="64"/>
      <c r="H8" s="339"/>
      <c r="I8" s="339"/>
    </row>
    <row r="9" spans="1:9" ht="20.100000000000001" customHeight="1" x14ac:dyDescent="0.2">
      <c r="B9" s="31" t="s">
        <v>1992</v>
      </c>
      <c r="C9" s="36" t="s">
        <v>2022</v>
      </c>
      <c r="D9" s="37">
        <f>-ROUND(VLOOKUP($C9,Database!$B$8:$P$994,2,0),0)</f>
        <v>70000</v>
      </c>
      <c r="E9" s="95">
        <f>F9+G9</f>
        <v>66933</v>
      </c>
      <c r="F9" s="37">
        <f>-ROUND(VLOOKUP($C9,Database!$B$8:$P$994,3,0),0)</f>
        <v>9000</v>
      </c>
      <c r="G9" s="37">
        <f>-ROUND(VLOOKUP($C9,Database!$B$8:$P$994,12,0),0)</f>
        <v>57933</v>
      </c>
      <c r="H9" s="41">
        <f>66000+500</f>
        <v>66500</v>
      </c>
      <c r="I9" s="41">
        <v>76029</v>
      </c>
    </row>
    <row r="10" spans="1:9" ht="20.100000000000001" customHeight="1" x14ac:dyDescent="0.2">
      <c r="B10" s="31" t="s">
        <v>579</v>
      </c>
      <c r="C10" s="36" t="s">
        <v>2026</v>
      </c>
      <c r="D10" s="37">
        <f>-ROUND(VLOOKUP($C10,Database!$B$8:$P$994,2,0),0)</f>
        <v>40000</v>
      </c>
      <c r="E10" s="95">
        <f t="shared" ref="E10:E17" si="0">F10+G10</f>
        <v>41733</v>
      </c>
      <c r="F10" s="37">
        <f>-ROUND(VLOOKUP($C10,Database!$B$8:$P$994,3,0),0)</f>
        <v>5000</v>
      </c>
      <c r="G10" s="37">
        <f>-ROUND(VLOOKUP($C10,Database!$B$8:$P$994,12,0),0)</f>
        <v>36733</v>
      </c>
      <c r="H10" s="41">
        <v>14000</v>
      </c>
      <c r="I10" s="41">
        <v>17607</v>
      </c>
    </row>
    <row r="11" spans="1:9" ht="20.100000000000001" customHeight="1" x14ac:dyDescent="0.2">
      <c r="B11" s="31" t="s">
        <v>1993</v>
      </c>
      <c r="C11" s="36" t="s">
        <v>2025</v>
      </c>
      <c r="D11" s="37">
        <f>-ROUND(VLOOKUP($C11,Database!$B$8:$P$994,2,0),0)</f>
        <v>10000</v>
      </c>
      <c r="E11" s="95">
        <f t="shared" si="0"/>
        <v>10274</v>
      </c>
      <c r="F11" s="37">
        <f>-ROUND(VLOOKUP($C11,Database!$B$8:$P$994,3,0),0)</f>
        <v>2000</v>
      </c>
      <c r="G11" s="37">
        <f>-ROUND(VLOOKUP($C11,Database!$B$8:$P$994,12,0),0)</f>
        <v>8274</v>
      </c>
      <c r="H11" s="41">
        <v>10000</v>
      </c>
      <c r="I11" s="41">
        <v>9366</v>
      </c>
    </row>
    <row r="12" spans="1:9" ht="20.100000000000001" customHeight="1" x14ac:dyDescent="0.2">
      <c r="B12" s="31" t="s">
        <v>1920</v>
      </c>
      <c r="C12" s="36" t="s">
        <v>2024</v>
      </c>
      <c r="D12" s="37">
        <f>-ROUND(VLOOKUP($C12,Database!$B$8:$P$994,2,0),0)</f>
        <v>8500</v>
      </c>
      <c r="E12" s="95">
        <f t="shared" si="0"/>
        <v>8500</v>
      </c>
      <c r="F12" s="37">
        <f>-ROUND(VLOOKUP($C12,Database!$B$8:$P$994,3,0),0)</f>
        <v>0</v>
      </c>
      <c r="G12" s="37">
        <f>-ROUND(VLOOKUP($C12,Database!$B$8:$P$994,12,0),0)</f>
        <v>8500</v>
      </c>
      <c r="H12" s="41">
        <v>8500</v>
      </c>
      <c r="I12" s="41">
        <v>8500</v>
      </c>
    </row>
    <row r="13" spans="1:9" ht="20.100000000000001" customHeight="1" x14ac:dyDescent="0.2">
      <c r="B13" s="31" t="s">
        <v>1994</v>
      </c>
      <c r="C13" s="36" t="s">
        <v>2023</v>
      </c>
      <c r="D13" s="37">
        <f>-ROUND(VLOOKUP($C13,Database!$B$8:$P$994,2,0),0)</f>
        <v>4600</v>
      </c>
      <c r="E13" s="95">
        <f t="shared" si="0"/>
        <v>4647</v>
      </c>
      <c r="F13" s="37">
        <f>-ROUND(VLOOKUP($C13,Database!$B$8:$P$994,3,0),0)</f>
        <v>0</v>
      </c>
      <c r="G13" s="37">
        <f>-ROUND(VLOOKUP($C13,Database!$B$8:$P$994,12,0),0)</f>
        <v>4647</v>
      </c>
      <c r="H13" s="41">
        <v>2000</v>
      </c>
      <c r="I13" s="41">
        <v>4729</v>
      </c>
    </row>
    <row r="14" spans="1:9" ht="20.100000000000001" customHeight="1" x14ac:dyDescent="0.2">
      <c r="B14" s="31" t="s">
        <v>1995</v>
      </c>
      <c r="C14" s="36" t="s">
        <v>2029</v>
      </c>
      <c r="D14" s="37">
        <f>-ROUND(VLOOKUP($C14,Database!$B$8:$P$994,2,0),0)</f>
        <v>3500</v>
      </c>
      <c r="E14" s="95">
        <f t="shared" si="0"/>
        <v>2325</v>
      </c>
      <c r="F14" s="37">
        <f>-ROUND(VLOOKUP($C14,Database!$B$8:$P$994,3,0),0)</f>
        <v>0</v>
      </c>
      <c r="G14" s="37">
        <f>-ROUND(VLOOKUP($C14,Database!$B$8:$P$994,12,0),0)</f>
        <v>2325</v>
      </c>
      <c r="H14" s="41">
        <v>4000</v>
      </c>
      <c r="I14" s="41">
        <v>3650</v>
      </c>
    </row>
    <row r="15" spans="1:9" ht="20.100000000000001" customHeight="1" x14ac:dyDescent="0.2">
      <c r="B15" s="31" t="s">
        <v>1996</v>
      </c>
      <c r="C15" s="36" t="s">
        <v>2028</v>
      </c>
      <c r="D15" s="37">
        <f>-ROUND(VLOOKUP($C15,Database!$B$8:$P$994,2,0),0)</f>
        <v>600</v>
      </c>
      <c r="E15" s="95">
        <f t="shared" si="0"/>
        <v>3227</v>
      </c>
      <c r="F15" s="37">
        <f>-ROUND(VLOOKUP($C15,Database!$B$8:$P$994,3,0),0)</f>
        <v>0</v>
      </c>
      <c r="G15" s="37">
        <f>-ROUND(VLOOKUP($C15,Database!$B$8:$P$994,12,0),0)</f>
        <v>3227</v>
      </c>
      <c r="H15" s="41"/>
      <c r="I15" s="41">
        <v>2053</v>
      </c>
    </row>
    <row r="16" spans="1:9" ht="20.100000000000001" customHeight="1" x14ac:dyDescent="0.2">
      <c r="B16" s="31" t="s">
        <v>573</v>
      </c>
      <c r="C16" s="36" t="s">
        <v>2021</v>
      </c>
      <c r="D16" s="37">
        <f>-ROUND(VLOOKUP($C16,Database!$B$8:$P$994,2,0),0)</f>
        <v>1200</v>
      </c>
      <c r="E16" s="95">
        <f t="shared" si="0"/>
        <v>1135</v>
      </c>
      <c r="F16" s="37">
        <f>-ROUND(VLOOKUP($C16,Database!$B$8:$P$994,3,0),0)</f>
        <v>0</v>
      </c>
      <c r="G16" s="37">
        <f>-ROUND(VLOOKUP($C16,Database!$B$8:$P$994,12,0),0)</f>
        <v>1135</v>
      </c>
      <c r="H16" s="41">
        <v>500</v>
      </c>
      <c r="I16" s="41">
        <v>435</v>
      </c>
    </row>
    <row r="17" spans="1:12" ht="20.100000000000001" customHeight="1" x14ac:dyDescent="0.2">
      <c r="B17" s="31" t="s">
        <v>1997</v>
      </c>
      <c r="C17" s="36" t="s">
        <v>2027</v>
      </c>
      <c r="D17" s="37">
        <f>-ROUND(VLOOKUP($C17,Database!$B$8:$P$994,2,0),0)</f>
        <v>0</v>
      </c>
      <c r="E17" s="95">
        <f t="shared" si="0"/>
        <v>0</v>
      </c>
      <c r="F17" s="37">
        <f>-ROUND(VLOOKUP($C17,Database!$B$8:$P$994,3,0),0)</f>
        <v>0</v>
      </c>
      <c r="G17" s="37">
        <f>-ROUND(VLOOKUP($C17,Database!$B$8:$P$994,12,0),0)</f>
        <v>0</v>
      </c>
      <c r="H17" s="41">
        <v>0</v>
      </c>
      <c r="I17" s="41">
        <v>317</v>
      </c>
    </row>
    <row r="18" spans="1:12" ht="30" customHeight="1" x14ac:dyDescent="0.25">
      <c r="D18" s="43">
        <f t="shared" ref="D18:E18" si="1">SUM(D9:D17)</f>
        <v>138400</v>
      </c>
      <c r="E18" s="43">
        <f t="shared" si="1"/>
        <v>138774</v>
      </c>
      <c r="F18" s="43">
        <f>SUM(F9:F17)</f>
        <v>16000</v>
      </c>
      <c r="G18" s="43">
        <f>SUM(G9:G17)</f>
        <v>122774</v>
      </c>
      <c r="H18" s="43">
        <f>SUM(H9:H17)</f>
        <v>105500</v>
      </c>
      <c r="I18" s="43">
        <f>SUM(I9:I17)</f>
        <v>122686</v>
      </c>
    </row>
    <row r="19" spans="1:12" ht="20.100000000000001" customHeight="1" x14ac:dyDescent="0.25">
      <c r="A19" s="32" t="s">
        <v>1819</v>
      </c>
      <c r="F19" s="61"/>
      <c r="G19" s="62"/>
      <c r="H19" s="61"/>
      <c r="I19" s="62"/>
      <c r="L19" s="88"/>
    </row>
    <row r="20" spans="1:12" ht="20.100000000000001" customHeight="1" x14ac:dyDescent="0.2">
      <c r="B20" s="31" t="s">
        <v>1998</v>
      </c>
      <c r="C20" s="36" t="s">
        <v>2020</v>
      </c>
      <c r="D20" s="37">
        <f>ROUND(VLOOKUP($C20,Database!$B$8:$P$994,2,0),0)</f>
        <v>22000</v>
      </c>
      <c r="E20" s="95">
        <f t="shared" ref="E20:E33" si="2">F20+G20</f>
        <v>20071</v>
      </c>
      <c r="F20" s="37">
        <f>ROUND(VLOOKUP($C20,Database!$B$8:$P$994,3,0),0)</f>
        <v>5000</v>
      </c>
      <c r="G20" s="37">
        <f>ROUND(VLOOKUP($C20,Database!$B$8:$P$994,12,0),0)</f>
        <v>15071</v>
      </c>
      <c r="H20" s="41">
        <v>10000</v>
      </c>
      <c r="I20" s="41">
        <v>9106</v>
      </c>
    </row>
    <row r="21" spans="1:12" ht="20.100000000000001" customHeight="1" x14ac:dyDescent="0.2">
      <c r="B21" s="31" t="s">
        <v>1999</v>
      </c>
      <c r="C21" s="36" t="s">
        <v>2015</v>
      </c>
      <c r="D21" s="37">
        <f>ROUND(VLOOKUP($C21,Database!$B$8:$P$994,2,0),0)</f>
        <v>0</v>
      </c>
      <c r="E21" s="95">
        <f t="shared" si="2"/>
        <v>0</v>
      </c>
      <c r="F21" s="37">
        <f>ROUND(VLOOKUP($C21,Database!$B$8:$P$994,3,0),0)</f>
        <v>0</v>
      </c>
      <c r="G21" s="37">
        <f>ROUND(VLOOKUP($C21,Database!$B$8:$P$994,12,0),0)</f>
        <v>0</v>
      </c>
      <c r="H21" s="41"/>
      <c r="I21" s="41">
        <v>0</v>
      </c>
    </row>
    <row r="22" spans="1:12" ht="20.100000000000001" customHeight="1" x14ac:dyDescent="0.2">
      <c r="B22" s="31" t="s">
        <v>2000</v>
      </c>
      <c r="C22" s="36" t="s">
        <v>2018</v>
      </c>
      <c r="D22" s="37">
        <f>ROUND(VLOOKUP($C22,Database!$B$8:$P$994,2,0),0)</f>
        <v>25000</v>
      </c>
      <c r="E22" s="95">
        <f t="shared" si="2"/>
        <v>25103</v>
      </c>
      <c r="F22" s="37">
        <f>ROUND(VLOOKUP($C22,Database!$B$8:$P$994,3,0),0)</f>
        <v>1800</v>
      </c>
      <c r="G22" s="37">
        <f>ROUND(VLOOKUP($C22,Database!$B$8:$P$994,12,0),0)</f>
        <v>23303</v>
      </c>
      <c r="H22" s="41">
        <f>3000</f>
        <v>3000</v>
      </c>
      <c r="I22" s="41">
        <v>8558</v>
      </c>
    </row>
    <row r="23" spans="1:12" ht="20.100000000000001" customHeight="1" x14ac:dyDescent="0.2">
      <c r="B23" s="31" t="s">
        <v>605</v>
      </c>
      <c r="C23" s="36" t="s">
        <v>2016</v>
      </c>
      <c r="D23" s="37">
        <f>ROUND(VLOOKUP($C23,Database!$B$8:$P$994,2,0),0)</f>
        <v>40000</v>
      </c>
      <c r="E23" s="95">
        <f t="shared" si="2"/>
        <v>37953</v>
      </c>
      <c r="F23" s="37">
        <f>ROUND(VLOOKUP($C23,Database!$B$8:$P$994,3,0),0)</f>
        <v>6000</v>
      </c>
      <c r="G23" s="37">
        <f>ROUND(VLOOKUP($C23,Database!$B$8:$P$994,12,0),0)</f>
        <v>31953</v>
      </c>
      <c r="H23" s="41">
        <v>47000</v>
      </c>
      <c r="I23" s="41">
        <v>45796</v>
      </c>
    </row>
    <row r="24" spans="1:12" ht="20.100000000000001" customHeight="1" x14ac:dyDescent="0.2">
      <c r="B24" s="31" t="s">
        <v>2001</v>
      </c>
      <c r="C24" s="36" t="s">
        <v>2019</v>
      </c>
      <c r="D24" s="37">
        <f>ROUND(VLOOKUP($C24,Database!$B$8:$P$994,2,0),0)</f>
        <v>16200</v>
      </c>
      <c r="E24" s="95">
        <f t="shared" si="2"/>
        <v>14118</v>
      </c>
      <c r="F24" s="37">
        <f>ROUND(VLOOKUP($C24,Database!$B$8:$P$994,3,0),0)</f>
        <v>2000</v>
      </c>
      <c r="G24" s="37">
        <f>ROUND(VLOOKUP($C24,Database!$B$8:$P$994,12,0),0)</f>
        <v>12118</v>
      </c>
      <c r="H24" s="41">
        <v>22000</v>
      </c>
      <c r="I24" s="41">
        <v>19788</v>
      </c>
    </row>
    <row r="25" spans="1:12" ht="20.100000000000001" customHeight="1" x14ac:dyDescent="0.2">
      <c r="B25" s="31" t="s">
        <v>611</v>
      </c>
      <c r="C25" s="36" t="s">
        <v>2013</v>
      </c>
      <c r="D25" s="37">
        <f>ROUND(VLOOKUP($C25,Database!$B$8:$P$994,2,0),0)</f>
        <v>5000</v>
      </c>
      <c r="E25" s="95">
        <f t="shared" si="2"/>
        <v>4860</v>
      </c>
      <c r="F25" s="37">
        <f>ROUND(VLOOKUP($C25,Database!$B$8:$P$994,3,0),0)</f>
        <v>800</v>
      </c>
      <c r="G25" s="37">
        <f>ROUND(VLOOKUP($C25,Database!$B$8:$P$994,12,0),0)</f>
        <v>4060</v>
      </c>
      <c r="H25" s="41">
        <v>3500</v>
      </c>
      <c r="I25" s="41">
        <v>3962</v>
      </c>
    </row>
    <row r="26" spans="1:12" ht="20.100000000000001" customHeight="1" x14ac:dyDescent="0.2">
      <c r="B26" s="31" t="s">
        <v>617</v>
      </c>
      <c r="C26" s="36" t="s">
        <v>2012</v>
      </c>
      <c r="D26" s="37">
        <f>ROUND(VLOOKUP($C26,Database!$B$8:$P$994,2,0),0)</f>
        <v>21044</v>
      </c>
      <c r="E26" s="95">
        <f t="shared" si="2"/>
        <v>17537</v>
      </c>
      <c r="F26" s="37">
        <f>ROUND(VLOOKUP($C26,Database!$B$8:$P$994,3,0),0)</f>
        <v>9877</v>
      </c>
      <c r="G26" s="37">
        <f>ROUND(VLOOKUP($C26,Database!$B$8:$P$994,12,0),0)</f>
        <v>7660</v>
      </c>
      <c r="H26" s="41">
        <v>11200</v>
      </c>
      <c r="I26" s="41">
        <v>10213</v>
      </c>
    </row>
    <row r="27" spans="1:12" ht="20.100000000000001" customHeight="1" x14ac:dyDescent="0.2">
      <c r="B27" s="31" t="s">
        <v>1119</v>
      </c>
      <c r="C27" s="36" t="s">
        <v>2017</v>
      </c>
      <c r="D27" s="37">
        <f>ROUND(VLOOKUP($C27,Database!$B$8:$P$994,2,0),0)</f>
        <v>2600</v>
      </c>
      <c r="E27" s="95">
        <f t="shared" si="2"/>
        <v>2343</v>
      </c>
      <c r="F27" s="37">
        <f>ROUND(VLOOKUP($C27,Database!$B$8:$P$994,3,0),0)</f>
        <v>75</v>
      </c>
      <c r="G27" s="37">
        <f>ROUND(VLOOKUP($C27,Database!$B$8:$P$994,12,0),0)</f>
        <v>2268</v>
      </c>
      <c r="H27" s="41">
        <f>500+1000</f>
        <v>1500</v>
      </c>
      <c r="I27" s="41">
        <v>2001</v>
      </c>
    </row>
    <row r="28" spans="1:12" ht="20.100000000000001" customHeight="1" x14ac:dyDescent="0.2">
      <c r="B28" s="31" t="s">
        <v>2002</v>
      </c>
      <c r="C28" s="36" t="s">
        <v>2008</v>
      </c>
      <c r="D28" s="37">
        <f>ROUND(VLOOKUP($C28,Database!$B$8:$P$994,2,0),0)</f>
        <v>3500</v>
      </c>
      <c r="E28" s="95">
        <f t="shared" si="2"/>
        <v>3000</v>
      </c>
      <c r="F28" s="37">
        <f>ROUND(VLOOKUP($C28,Database!$B$8:$P$994,3,0),0)</f>
        <v>3000</v>
      </c>
      <c r="G28" s="37">
        <f>ROUND(VLOOKUP($C28,Database!$B$8:$P$994,12,0),0)</f>
        <v>0</v>
      </c>
      <c r="H28" s="41">
        <v>2600</v>
      </c>
      <c r="I28" s="41">
        <v>3000</v>
      </c>
    </row>
    <row r="29" spans="1:12" ht="20.100000000000001" customHeight="1" x14ac:dyDescent="0.2">
      <c r="B29" s="31" t="s">
        <v>2003</v>
      </c>
      <c r="C29" s="36" t="s">
        <v>2010</v>
      </c>
      <c r="D29" s="37">
        <f>ROUND(VLOOKUP($C29,Database!$B$8:$P$994,2,0),0)</f>
        <v>5755</v>
      </c>
      <c r="E29" s="95">
        <f t="shared" si="2"/>
        <v>5753</v>
      </c>
      <c r="F29" s="37">
        <f>ROUND(VLOOKUP($C29,Database!$B$8:$P$994,3,0),0)</f>
        <v>0</v>
      </c>
      <c r="G29" s="37">
        <f>ROUND(VLOOKUP($C29,Database!$B$8:$P$994,12,0),0)</f>
        <v>5753</v>
      </c>
      <c r="H29" s="41">
        <v>6200</v>
      </c>
      <c r="I29" s="41">
        <v>6523</v>
      </c>
    </row>
    <row r="30" spans="1:12" ht="20.100000000000001" customHeight="1" x14ac:dyDescent="0.2">
      <c r="B30" s="31" t="s">
        <v>2004</v>
      </c>
      <c r="C30" s="36" t="s">
        <v>2011</v>
      </c>
      <c r="D30" s="37">
        <f>ROUND(VLOOKUP($C30,Database!$B$8:$P$994,2,0),0)</f>
        <v>14500</v>
      </c>
      <c r="E30" s="95">
        <f t="shared" si="2"/>
        <v>12787</v>
      </c>
      <c r="F30" s="37">
        <f>ROUND(VLOOKUP($C30,Database!$B$8:$P$994,3,0),0)</f>
        <v>1000</v>
      </c>
      <c r="G30" s="37">
        <f>ROUND(VLOOKUP($C30,Database!$B$8:$P$994,12,0),0)</f>
        <v>11787</v>
      </c>
      <c r="H30" s="41">
        <v>15000</v>
      </c>
      <c r="I30" s="41">
        <v>18320</v>
      </c>
    </row>
    <row r="31" spans="1:12" ht="20.100000000000001" customHeight="1" x14ac:dyDescent="0.2">
      <c r="B31" s="31" t="s">
        <v>2005</v>
      </c>
      <c r="C31" s="36" t="s">
        <v>2007</v>
      </c>
      <c r="D31" s="37">
        <f>ROUND(VLOOKUP($C31,Database!$B$8:$P$994,2,0),0)</f>
        <v>80739</v>
      </c>
      <c r="E31" s="95">
        <f t="shared" si="2"/>
        <v>72872</v>
      </c>
      <c r="F31" s="37">
        <f>ROUND(VLOOKUP($C31,Database!$B$8:$P$994,3,0),0)</f>
        <v>21246</v>
      </c>
      <c r="G31" s="37">
        <f>ROUND(VLOOKUP($C31,Database!$B$8:$P$994,12,0),0)</f>
        <v>51626</v>
      </c>
      <c r="H31" s="41">
        <f>52000+10000</f>
        <v>62000</v>
      </c>
      <c r="I31" s="41">
        <v>65187</v>
      </c>
    </row>
    <row r="32" spans="1:12" ht="20.100000000000001" customHeight="1" x14ac:dyDescent="0.2">
      <c r="B32" s="31" t="s">
        <v>2006</v>
      </c>
      <c r="C32" s="36" t="s">
        <v>2014</v>
      </c>
      <c r="D32" s="37">
        <f>ROUND(VLOOKUP($C32,Database!$B$8:$P$994,2,0),0)</f>
        <v>11500</v>
      </c>
      <c r="E32" s="95">
        <f t="shared" si="2"/>
        <v>11320</v>
      </c>
      <c r="F32" s="37">
        <f>ROUND(VLOOKUP($C32,Database!$B$8:$P$994,3,0),0)</f>
        <v>3200</v>
      </c>
      <c r="G32" s="37">
        <f>ROUND(VLOOKUP($C32,Database!$B$8:$P$994,12,0),0)</f>
        <v>8120</v>
      </c>
      <c r="H32" s="41">
        <v>6300</v>
      </c>
      <c r="I32" s="41">
        <v>7372</v>
      </c>
    </row>
    <row r="33" spans="1:11" ht="20.100000000000001" customHeight="1" x14ac:dyDescent="0.2">
      <c r="B33" s="31" t="s">
        <v>595</v>
      </c>
      <c r="C33" s="36" t="s">
        <v>2009</v>
      </c>
      <c r="D33" s="37">
        <f>ROUND(VLOOKUP($C33,Database!$B$8:$P$994,2,0),0)</f>
        <v>1560</v>
      </c>
      <c r="E33" s="95">
        <f t="shared" si="2"/>
        <v>1491</v>
      </c>
      <c r="F33" s="37">
        <f>ROUND(VLOOKUP($C33,Database!$B$8:$P$994,3,0),0)</f>
        <v>200</v>
      </c>
      <c r="G33" s="37">
        <f>ROUND(VLOOKUP($C33,Database!$B$8:$P$994,12,0),0)</f>
        <v>1291</v>
      </c>
      <c r="H33" s="41">
        <v>1500</v>
      </c>
      <c r="I33" s="41">
        <v>1272</v>
      </c>
    </row>
    <row r="34" spans="1:11" ht="30" customHeight="1" x14ac:dyDescent="0.25">
      <c r="D34" s="43">
        <f t="shared" ref="D34:E34" si="3">SUM(D20:D33)</f>
        <v>249398</v>
      </c>
      <c r="E34" s="43">
        <f t="shared" si="3"/>
        <v>229208</v>
      </c>
      <c r="F34" s="43">
        <f>SUM(F20:F33)</f>
        <v>54198</v>
      </c>
      <c r="G34" s="43">
        <f>SUM(G20:G33)</f>
        <v>175010</v>
      </c>
      <c r="H34" s="43">
        <f>SUM(H20:H33)</f>
        <v>191800</v>
      </c>
      <c r="I34" s="43">
        <f>SUM(I20:I33)</f>
        <v>201098</v>
      </c>
    </row>
    <row r="35" spans="1:11" ht="30" customHeight="1" x14ac:dyDescent="0.25">
      <c r="A35" s="32" t="s">
        <v>1974</v>
      </c>
      <c r="D35" s="47">
        <f t="shared" ref="D35:E35" si="4">D18-D34</f>
        <v>-110998</v>
      </c>
      <c r="E35" s="47">
        <f t="shared" si="4"/>
        <v>-90434</v>
      </c>
      <c r="F35" s="47">
        <f>F18-F34</f>
        <v>-38198</v>
      </c>
      <c r="G35" s="47">
        <f>G18-G34</f>
        <v>-52236</v>
      </c>
      <c r="H35" s="47">
        <f>H18-H34</f>
        <v>-86300</v>
      </c>
      <c r="I35" s="47">
        <f>I18-I34</f>
        <v>-78412</v>
      </c>
    </row>
    <row r="36" spans="1:11" ht="20.100000000000001" customHeight="1" x14ac:dyDescent="0.25">
      <c r="A36" s="32" t="s">
        <v>1814</v>
      </c>
      <c r="F36" s="41"/>
      <c r="G36" s="41"/>
      <c r="H36" s="41"/>
      <c r="I36" s="41"/>
    </row>
    <row r="37" spans="1:11" ht="20.100000000000001" customHeight="1" x14ac:dyDescent="0.2">
      <c r="B37" s="8" t="s">
        <v>2051</v>
      </c>
      <c r="C37" s="36" t="s">
        <v>580</v>
      </c>
      <c r="D37" s="37">
        <f>-ROUND(VLOOKUP($C37,Database!$B$8:$P$994,2,0),0)</f>
        <v>0</v>
      </c>
      <c r="E37" s="95">
        <f t="shared" ref="E37:E39" si="5">F37+G37</f>
        <v>0</v>
      </c>
      <c r="F37" s="37">
        <f>-ROUND(VLOOKUP($C37,Database!$B$8:$P$994,3,0),0)</f>
        <v>0</v>
      </c>
      <c r="G37" s="37">
        <f>-ROUND(VLOOKUP($C37,Database!$B$8:$P$994,12,0),0)</f>
        <v>0</v>
      </c>
      <c r="H37" s="41">
        <v>0</v>
      </c>
      <c r="I37" s="41">
        <v>136111</v>
      </c>
      <c r="J37" s="87" t="s">
        <v>2309</v>
      </c>
      <c r="K37" s="87" t="s">
        <v>2044</v>
      </c>
    </row>
    <row r="38" spans="1:11" ht="20.100000000000001" customHeight="1" x14ac:dyDescent="0.2">
      <c r="B38" s="8" t="s">
        <v>2047</v>
      </c>
      <c r="C38" s="36" t="s">
        <v>2049</v>
      </c>
      <c r="D38" s="37">
        <f>-ROUND(VLOOKUP($C38,Database!$B$8:$P$994,2,0),0)</f>
        <v>1600</v>
      </c>
      <c r="E38" s="95">
        <f t="shared" si="5"/>
        <v>8435</v>
      </c>
      <c r="F38" s="37">
        <f>-ROUND(VLOOKUP($C38,Database!$B$8:$P$994,3,0),0)</f>
        <v>0</v>
      </c>
      <c r="G38" s="37">
        <f>-ROUND(VLOOKUP($C38,Database!$B$8:$P$994,12,0),0)</f>
        <v>8435</v>
      </c>
      <c r="H38" s="41">
        <v>0</v>
      </c>
      <c r="I38" s="41"/>
      <c r="J38" s="87" t="s">
        <v>2309</v>
      </c>
    </row>
    <row r="39" spans="1:11" ht="20.100000000000001" customHeight="1" x14ac:dyDescent="0.2">
      <c r="B39" s="8" t="s">
        <v>2048</v>
      </c>
      <c r="C39" s="36" t="s">
        <v>2050</v>
      </c>
      <c r="D39" s="37">
        <f>-ROUND(VLOOKUP($C39,Database!$B$8:$P$994,2,0),0)</f>
        <v>0</v>
      </c>
      <c r="E39" s="95">
        <f t="shared" si="5"/>
        <v>0</v>
      </c>
      <c r="F39" s="37">
        <f>-ROUND(VLOOKUP($C39,Database!$B$8:$P$994,3,0),0)</f>
        <v>0</v>
      </c>
      <c r="G39" s="37">
        <f>-ROUND(VLOOKUP($C39,Database!$B$8:$P$994,12,0),0)</f>
        <v>0</v>
      </c>
      <c r="H39" s="41">
        <v>0</v>
      </c>
      <c r="I39" s="41"/>
      <c r="J39" s="87" t="s">
        <v>2309</v>
      </c>
    </row>
    <row r="40" spans="1:11" ht="30" customHeight="1" x14ac:dyDescent="0.25">
      <c r="B40" s="8"/>
      <c r="C40" s="36"/>
      <c r="D40" s="43">
        <f t="shared" ref="D40:E40" si="6">SUM(D37:D39)</f>
        <v>1600</v>
      </c>
      <c r="E40" s="43">
        <f t="shared" si="6"/>
        <v>8435</v>
      </c>
      <c r="F40" s="43">
        <f>SUM(F37:F39)</f>
        <v>0</v>
      </c>
      <c r="G40" s="43">
        <f t="shared" ref="G40:I40" si="7">SUM(G37:G39)</f>
        <v>8435</v>
      </c>
      <c r="H40" s="43">
        <f>SUM(H37:H39)</f>
        <v>0</v>
      </c>
      <c r="I40" s="43">
        <f t="shared" si="7"/>
        <v>136111</v>
      </c>
    </row>
    <row r="41" spans="1:11" ht="30" customHeight="1" x14ac:dyDescent="0.25">
      <c r="A41" s="32" t="s">
        <v>1817</v>
      </c>
      <c r="D41" s="48">
        <f>D35+D40</f>
        <v>-109398</v>
      </c>
      <c r="E41" s="48">
        <f t="shared" ref="E41:I41" si="8">E35+E40</f>
        <v>-81999</v>
      </c>
      <c r="F41" s="48">
        <f t="shared" si="8"/>
        <v>-38198</v>
      </c>
      <c r="G41" s="48">
        <f t="shared" si="8"/>
        <v>-43801</v>
      </c>
      <c r="H41" s="48">
        <f t="shared" si="8"/>
        <v>-86300</v>
      </c>
      <c r="I41" s="48">
        <f t="shared" si="8"/>
        <v>57699</v>
      </c>
    </row>
    <row r="42" spans="1:11" x14ac:dyDescent="0.2">
      <c r="F42" s="41"/>
      <c r="G42" s="41"/>
      <c r="H42" s="41"/>
      <c r="I42" s="41"/>
    </row>
    <row r="43" spans="1:11" x14ac:dyDescent="0.2">
      <c r="B43" s="31" t="s">
        <v>2312</v>
      </c>
      <c r="F43" s="41"/>
      <c r="G43" s="41"/>
      <c r="H43" s="41"/>
      <c r="I43" s="41"/>
    </row>
    <row r="44" spans="1:11" ht="20.100000000000001" customHeight="1" x14ac:dyDescent="0.25">
      <c r="B44" s="31" t="s">
        <v>2308</v>
      </c>
      <c r="D44" s="221">
        <f>D35+D20</f>
        <v>-88998</v>
      </c>
      <c r="E44" s="221">
        <f t="shared" ref="E44:I44" si="9">E35+E20</f>
        <v>-70363</v>
      </c>
      <c r="F44" s="221">
        <f t="shared" si="9"/>
        <v>-33198</v>
      </c>
      <c r="G44" s="221">
        <f t="shared" si="9"/>
        <v>-37165</v>
      </c>
      <c r="H44" s="221">
        <f t="shared" si="9"/>
        <v>-76300</v>
      </c>
      <c r="I44" s="221">
        <f t="shared" si="9"/>
        <v>-69306</v>
      </c>
    </row>
    <row r="45" spans="1:11" ht="20.100000000000001" customHeight="1" x14ac:dyDescent="0.2"/>
    <row r="46" spans="1:11" ht="20.100000000000001" customHeight="1" x14ac:dyDescent="0.2">
      <c r="B46" s="335" t="s">
        <v>2493</v>
      </c>
      <c r="C46" s="335"/>
      <c r="D46" s="336">
        <v>19000</v>
      </c>
    </row>
    <row r="47" spans="1:11" ht="20.100000000000001" customHeight="1" x14ac:dyDescent="0.2"/>
    <row r="48" spans="1:11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</sheetData>
  <pageMargins left="0" right="0" top="0.15748031496062992" bottom="0.15748031496062992" header="0.11811023622047245" footer="0.11811023622047245"/>
  <pageSetup scale="7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3F15-BFE2-4B32-BC08-E7A267D4F359}">
  <dimension ref="A1:O51"/>
  <sheetViews>
    <sheetView topLeftCell="A25" workbookViewId="0">
      <selection activeCell="A45" sqref="A45"/>
    </sheetView>
  </sheetViews>
  <sheetFormatPr defaultRowHeight="15.75" x14ac:dyDescent="0.25"/>
  <cols>
    <col min="2" max="2" width="30.140625" customWidth="1"/>
    <col min="3" max="3" width="15.28515625" style="4" customWidth="1"/>
    <col min="4" max="4" width="17.42578125" customWidth="1"/>
    <col min="5" max="5" width="18" customWidth="1"/>
    <col min="6" max="6" width="13.5703125" customWidth="1"/>
    <col min="7" max="7" width="15" customWidth="1"/>
    <col min="8" max="8" width="11.7109375" customWidth="1"/>
    <col min="9" max="9" width="12.85546875" style="146" customWidth="1"/>
    <col min="10" max="10" width="15.28515625" style="146" customWidth="1"/>
    <col min="12" max="12" width="11.28515625" customWidth="1"/>
  </cols>
  <sheetData>
    <row r="1" spans="1:12" ht="18.75" x14ac:dyDescent="0.3">
      <c r="A1" s="192" t="s">
        <v>2265</v>
      </c>
      <c r="B1" s="22"/>
      <c r="D1" s="22"/>
      <c r="E1" s="22"/>
      <c r="F1" s="22"/>
      <c r="G1" s="22"/>
    </row>
    <row r="2" spans="1:12" x14ac:dyDescent="0.25">
      <c r="C2" s="153" t="s">
        <v>2286</v>
      </c>
      <c r="D2" s="193" t="s">
        <v>2219</v>
      </c>
      <c r="E2" s="193" t="s">
        <v>2202</v>
      </c>
      <c r="G2" s="194" t="s">
        <v>2266</v>
      </c>
      <c r="H2" s="153"/>
      <c r="I2" s="193" t="s">
        <v>2201</v>
      </c>
    </row>
    <row r="3" spans="1:12" x14ac:dyDescent="0.25">
      <c r="A3" s="195" t="s">
        <v>887</v>
      </c>
      <c r="B3" s="18" t="s">
        <v>888</v>
      </c>
      <c r="C3" s="196" t="s">
        <v>2169</v>
      </c>
      <c r="D3" s="11" t="s">
        <v>2285</v>
      </c>
      <c r="E3" s="18"/>
      <c r="F3" s="18"/>
      <c r="G3" s="19">
        <f>154168.71-46695.91</f>
        <v>107472.79999999999</v>
      </c>
      <c r="I3" s="146">
        <f>174377.41-34040.28-5309.11</f>
        <v>135028.02000000002</v>
      </c>
    </row>
    <row r="4" spans="1:12" x14ac:dyDescent="0.25">
      <c r="A4" s="195" t="s">
        <v>1377</v>
      </c>
      <c r="B4" s="18" t="s">
        <v>1083</v>
      </c>
      <c r="C4" s="18"/>
      <c r="D4" s="18"/>
      <c r="E4" s="196" t="s">
        <v>2267</v>
      </c>
      <c r="F4" s="18"/>
      <c r="G4" s="19">
        <v>7556.31</v>
      </c>
      <c r="I4" s="146">
        <v>0</v>
      </c>
    </row>
    <row r="5" spans="1:12" x14ac:dyDescent="0.25">
      <c r="A5" s="195" t="s">
        <v>1378</v>
      </c>
      <c r="B5" s="18" t="s">
        <v>1085</v>
      </c>
      <c r="C5" s="209"/>
      <c r="D5" s="209"/>
      <c r="E5" s="196" t="s">
        <v>2268</v>
      </c>
      <c r="F5" s="18"/>
      <c r="G5" s="19">
        <v>3506.01</v>
      </c>
      <c r="I5" s="146">
        <v>0</v>
      </c>
    </row>
    <row r="6" spans="1:12" s="4" customFormat="1" x14ac:dyDescent="0.25">
      <c r="A6" s="17" t="s">
        <v>823</v>
      </c>
      <c r="B6" s="18" t="s">
        <v>824</v>
      </c>
      <c r="C6" s="209"/>
      <c r="D6" s="209"/>
      <c r="E6" s="196" t="s">
        <v>2269</v>
      </c>
      <c r="F6" s="18"/>
      <c r="G6" s="19">
        <v>2434.94</v>
      </c>
      <c r="I6" s="98">
        <v>0</v>
      </c>
      <c r="J6" s="98"/>
    </row>
    <row r="7" spans="1:12" s="4" customFormat="1" x14ac:dyDescent="0.25">
      <c r="A7" s="17"/>
      <c r="B7" s="18"/>
      <c r="C7" s="209"/>
      <c r="D7" s="209"/>
      <c r="E7" s="196" t="s">
        <v>2270</v>
      </c>
      <c r="F7" s="18"/>
      <c r="G7" s="197">
        <f>SUM(G3:G6)</f>
        <v>120970.05999999998</v>
      </c>
      <c r="H7" s="101">
        <f>29861.5*2</f>
        <v>59723</v>
      </c>
      <c r="I7" s="98">
        <f>SUM(I3:I6)</f>
        <v>135028.02000000002</v>
      </c>
      <c r="J7" s="179">
        <f>34039.18+35652.18</f>
        <v>69691.360000000001</v>
      </c>
      <c r="K7" s="4" t="s">
        <v>2271</v>
      </c>
    </row>
    <row r="8" spans="1:12" s="4" customFormat="1" x14ac:dyDescent="0.25">
      <c r="A8" s="17"/>
      <c r="B8" s="18"/>
      <c r="C8" s="209"/>
      <c r="D8" s="209"/>
      <c r="E8" s="196"/>
      <c r="F8" s="18"/>
      <c r="G8" s="197"/>
      <c r="H8" s="101"/>
      <c r="I8" s="98"/>
      <c r="J8" s="179"/>
    </row>
    <row r="9" spans="1:12" s="4" customFormat="1" x14ac:dyDescent="0.25">
      <c r="A9" s="17">
        <v>5095</v>
      </c>
      <c r="B9" s="18" t="s">
        <v>2272</v>
      </c>
      <c r="C9" s="209">
        <v>300</v>
      </c>
      <c r="D9" s="209">
        <v>200</v>
      </c>
      <c r="E9" s="198">
        <v>0</v>
      </c>
      <c r="F9" s="18"/>
      <c r="G9" s="19">
        <v>0</v>
      </c>
      <c r="I9" s="98">
        <v>0</v>
      </c>
      <c r="J9" s="98"/>
    </row>
    <row r="10" spans="1:12" s="4" customFormat="1" x14ac:dyDescent="0.25">
      <c r="A10" s="17" t="s">
        <v>827</v>
      </c>
      <c r="B10" s="18" t="s">
        <v>585</v>
      </c>
      <c r="C10" s="209">
        <v>0</v>
      </c>
      <c r="D10" s="209">
        <v>0</v>
      </c>
      <c r="E10" s="198">
        <v>884.6</v>
      </c>
      <c r="F10" s="198"/>
      <c r="G10" s="19">
        <v>475</v>
      </c>
      <c r="I10" s="101">
        <f>36.17+751.25</f>
        <v>787.42</v>
      </c>
      <c r="J10" s="98" t="s">
        <v>2273</v>
      </c>
      <c r="L10" s="4" t="s">
        <v>2274</v>
      </c>
    </row>
    <row r="11" spans="1:12" s="4" customFormat="1" x14ac:dyDescent="0.25">
      <c r="A11" s="195" t="s">
        <v>828</v>
      </c>
      <c r="B11" s="18" t="s">
        <v>829</v>
      </c>
      <c r="C11" s="209">
        <v>4500</v>
      </c>
      <c r="D11" s="209">
        <v>5203</v>
      </c>
      <c r="E11" s="198">
        <v>2404.56</v>
      </c>
      <c r="F11" s="198"/>
      <c r="G11" s="19">
        <v>3095.99</v>
      </c>
      <c r="I11" s="98">
        <v>2322.7399999999998</v>
      </c>
      <c r="J11" s="98"/>
    </row>
    <row r="12" spans="1:12" s="4" customFormat="1" x14ac:dyDescent="0.25">
      <c r="A12" s="195" t="s">
        <v>830</v>
      </c>
      <c r="B12" s="18" t="s">
        <v>831</v>
      </c>
      <c r="C12" s="209">
        <v>3000</v>
      </c>
      <c r="D12" s="209">
        <v>2590</v>
      </c>
      <c r="E12" s="198">
        <v>840</v>
      </c>
      <c r="F12" s="198"/>
      <c r="G12" s="19">
        <v>411.75</v>
      </c>
      <c r="I12" s="98">
        <v>803.49</v>
      </c>
      <c r="J12" s="98"/>
      <c r="K12" s="199"/>
    </row>
    <row r="13" spans="1:12" s="4" customFormat="1" x14ac:dyDescent="0.25">
      <c r="A13" s="195" t="s">
        <v>832</v>
      </c>
      <c r="B13" s="18" t="s">
        <v>833</v>
      </c>
      <c r="C13" s="209">
        <v>3000</v>
      </c>
      <c r="D13" s="209">
        <v>3000</v>
      </c>
      <c r="E13" s="198">
        <v>4852.8599999999997</v>
      </c>
      <c r="F13" s="198"/>
      <c r="G13" s="19">
        <v>3283.99</v>
      </c>
      <c r="I13" s="98">
        <v>4338.3500000000004</v>
      </c>
      <c r="J13" s="98"/>
      <c r="K13" s="158"/>
    </row>
    <row r="14" spans="1:12" s="4" customFormat="1" x14ac:dyDescent="0.25">
      <c r="A14" s="195" t="s">
        <v>834</v>
      </c>
      <c r="B14" s="18" t="s">
        <v>835</v>
      </c>
      <c r="C14" s="209">
        <v>1350</v>
      </c>
      <c r="D14" s="209">
        <v>1350</v>
      </c>
      <c r="E14" s="198">
        <v>1351.68</v>
      </c>
      <c r="F14" s="198"/>
      <c r="G14" s="19">
        <v>1694.32</v>
      </c>
      <c r="I14" s="98">
        <v>1351.68</v>
      </c>
      <c r="J14" s="98"/>
      <c r="K14" s="200"/>
    </row>
    <row r="15" spans="1:12" s="4" customFormat="1" x14ac:dyDescent="0.25">
      <c r="A15" s="195" t="s">
        <v>836</v>
      </c>
      <c r="B15" s="18" t="s">
        <v>837</v>
      </c>
      <c r="C15" s="209">
        <v>6200</v>
      </c>
      <c r="D15" s="209">
        <v>6147</v>
      </c>
      <c r="E15" s="198">
        <v>2995.54</v>
      </c>
      <c r="F15" s="198"/>
      <c r="G15" s="19">
        <v>1397</v>
      </c>
      <c r="I15" s="98">
        <v>1583.14</v>
      </c>
      <c r="J15" s="98"/>
      <c r="K15" s="201"/>
    </row>
    <row r="16" spans="1:12" s="4" customFormat="1" x14ac:dyDescent="0.25">
      <c r="A16" s="195">
        <v>5333</v>
      </c>
      <c r="B16" s="18" t="s">
        <v>2275</v>
      </c>
      <c r="C16" s="213"/>
      <c r="D16" s="213"/>
      <c r="E16" s="198">
        <v>250.86</v>
      </c>
      <c r="F16" s="198"/>
      <c r="G16" s="19">
        <v>0</v>
      </c>
      <c r="I16" s="98">
        <v>0</v>
      </c>
      <c r="J16" s="98"/>
      <c r="K16" s="201"/>
    </row>
    <row r="17" spans="1:15" s="4" customFormat="1" x14ac:dyDescent="0.25">
      <c r="A17" s="195">
        <v>5334</v>
      </c>
      <c r="B17" s="18" t="s">
        <v>2276</v>
      </c>
      <c r="C17" s="213"/>
      <c r="D17" s="213"/>
      <c r="E17" s="198">
        <v>568.6</v>
      </c>
      <c r="F17" s="198"/>
      <c r="G17" s="19">
        <v>0</v>
      </c>
      <c r="I17" s="101">
        <v>1647.53</v>
      </c>
      <c r="J17" s="98"/>
      <c r="K17" s="201"/>
    </row>
    <row r="18" spans="1:15" s="4" customFormat="1" x14ac:dyDescent="0.25">
      <c r="A18" s="195" t="s">
        <v>847</v>
      </c>
      <c r="B18" s="18" t="s">
        <v>848</v>
      </c>
      <c r="C18" s="209">
        <v>3000</v>
      </c>
      <c r="D18" s="209">
        <v>2828</v>
      </c>
      <c r="E18" s="198">
        <v>1857.83</v>
      </c>
      <c r="F18" s="198"/>
      <c r="G18" s="19">
        <v>15726.65</v>
      </c>
      <c r="I18" s="101">
        <v>3247.51</v>
      </c>
      <c r="J18" s="98" t="s">
        <v>2277</v>
      </c>
      <c r="K18" s="200"/>
    </row>
    <row r="19" spans="1:15" s="4" customFormat="1" x14ac:dyDescent="0.25">
      <c r="A19" s="195" t="s">
        <v>849</v>
      </c>
      <c r="B19" s="18" t="s">
        <v>850</v>
      </c>
      <c r="C19" s="209">
        <v>1000</v>
      </c>
      <c r="D19" s="209">
        <v>0</v>
      </c>
      <c r="E19" s="198">
        <v>990</v>
      </c>
      <c r="F19" s="198"/>
      <c r="G19" s="19">
        <v>5661.9</v>
      </c>
      <c r="I19" s="98">
        <v>385</v>
      </c>
      <c r="J19" s="98"/>
      <c r="K19" s="158"/>
    </row>
    <row r="20" spans="1:15" s="4" customFormat="1" x14ac:dyDescent="0.25">
      <c r="A20" s="17" t="s">
        <v>851</v>
      </c>
      <c r="B20" s="18" t="s">
        <v>852</v>
      </c>
      <c r="C20" s="209">
        <v>5250</v>
      </c>
      <c r="D20" s="209">
        <v>5250</v>
      </c>
      <c r="E20" s="198">
        <v>4004.5</v>
      </c>
      <c r="F20" s="198"/>
      <c r="G20" s="19">
        <v>3748.44</v>
      </c>
      <c r="I20" s="98">
        <v>3774.83</v>
      </c>
      <c r="J20" s="98"/>
      <c r="K20" s="199"/>
    </row>
    <row r="21" spans="1:15" s="4" customFormat="1" x14ac:dyDescent="0.25">
      <c r="A21" s="195" t="s">
        <v>857</v>
      </c>
      <c r="B21" s="18" t="s">
        <v>858</v>
      </c>
      <c r="C21" s="209">
        <v>12750</v>
      </c>
      <c r="D21" s="209">
        <v>12144</v>
      </c>
      <c r="E21" s="198">
        <v>11995.5</v>
      </c>
      <c r="F21" s="198"/>
      <c r="G21" s="19">
        <v>10956</v>
      </c>
      <c r="I21" s="98">
        <v>11550.5</v>
      </c>
      <c r="J21" s="98"/>
      <c r="K21" s="199"/>
    </row>
    <row r="22" spans="1:15" s="4" customFormat="1" x14ac:dyDescent="0.25">
      <c r="A22" s="17" t="s">
        <v>866</v>
      </c>
      <c r="B22" s="18" t="s">
        <v>617</v>
      </c>
      <c r="C22" s="209">
        <v>4866</v>
      </c>
      <c r="D22" s="209">
        <v>4055</v>
      </c>
      <c r="E22" s="198">
        <v>3658.5</v>
      </c>
      <c r="F22" s="198"/>
      <c r="G22" s="19">
        <v>751.88</v>
      </c>
      <c r="I22" s="98">
        <v>2998.12</v>
      </c>
      <c r="J22" s="98"/>
      <c r="K22" s="199"/>
    </row>
    <row r="23" spans="1:15" s="4" customFormat="1" x14ac:dyDescent="0.25">
      <c r="A23" s="17" t="s">
        <v>867</v>
      </c>
      <c r="B23" s="18" t="s">
        <v>597</v>
      </c>
      <c r="C23" s="213"/>
      <c r="D23" s="213"/>
      <c r="E23" s="198">
        <v>493.28</v>
      </c>
      <c r="F23" s="198"/>
      <c r="G23" s="19">
        <v>1458.63</v>
      </c>
      <c r="I23" s="98">
        <v>2322.5100000000002</v>
      </c>
      <c r="J23" s="98"/>
      <c r="K23" s="199"/>
    </row>
    <row r="24" spans="1:15" s="4" customFormat="1" x14ac:dyDescent="0.25">
      <c r="A24" s="195" t="s">
        <v>868</v>
      </c>
      <c r="B24" s="18" t="s">
        <v>869</v>
      </c>
      <c r="C24" s="209">
        <v>5500</v>
      </c>
      <c r="D24" s="209">
        <v>5550</v>
      </c>
      <c r="E24" s="198">
        <v>5837.89</v>
      </c>
      <c r="F24" s="198"/>
      <c r="G24" s="19">
        <v>3973.2</v>
      </c>
      <c r="I24" s="98">
        <v>5105.62</v>
      </c>
      <c r="J24" s="98"/>
      <c r="K24" s="202"/>
    </row>
    <row r="25" spans="1:15" s="4" customFormat="1" x14ac:dyDescent="0.25">
      <c r="A25" s="195" t="s">
        <v>1121</v>
      </c>
      <c r="B25" s="18" t="s">
        <v>1120</v>
      </c>
      <c r="C25" s="209">
        <v>3500</v>
      </c>
      <c r="D25" s="209">
        <v>3860</v>
      </c>
      <c r="E25" s="198">
        <v>3857.79</v>
      </c>
      <c r="F25" s="198"/>
      <c r="G25" s="19">
        <v>2981.81</v>
      </c>
      <c r="I25" s="98">
        <v>1767.02</v>
      </c>
      <c r="J25" s="98"/>
    </row>
    <row r="26" spans="1:15" s="4" customFormat="1" x14ac:dyDescent="0.25">
      <c r="A26" s="195">
        <v>5364</v>
      </c>
      <c r="B26" s="18" t="s">
        <v>2278</v>
      </c>
      <c r="C26" s="209">
        <v>0</v>
      </c>
      <c r="D26" s="209">
        <v>0</v>
      </c>
      <c r="E26" s="198">
        <v>0</v>
      </c>
      <c r="F26" s="198"/>
      <c r="G26" s="19">
        <v>0</v>
      </c>
      <c r="I26" s="98">
        <v>570.33000000000004</v>
      </c>
      <c r="J26" s="98"/>
    </row>
    <row r="27" spans="1:15" s="4" customFormat="1" x14ac:dyDescent="0.25">
      <c r="A27" s="195" t="s">
        <v>872</v>
      </c>
      <c r="B27" s="18" t="s">
        <v>873</v>
      </c>
      <c r="C27" s="209">
        <v>3000</v>
      </c>
      <c r="D27" s="209">
        <v>2724</v>
      </c>
      <c r="E27" s="198">
        <v>3554.36</v>
      </c>
      <c r="F27" s="198"/>
      <c r="G27" s="19">
        <v>2600.98</v>
      </c>
      <c r="I27" s="98">
        <v>2691.89</v>
      </c>
      <c r="J27" s="98"/>
    </row>
    <row r="28" spans="1:15" s="4" customFormat="1" x14ac:dyDescent="0.25">
      <c r="A28" s="195" t="s">
        <v>874</v>
      </c>
      <c r="B28" s="18" t="s">
        <v>875</v>
      </c>
      <c r="C28" s="209">
        <v>17500</v>
      </c>
      <c r="D28" s="209">
        <v>17500</v>
      </c>
      <c r="E28" s="198">
        <v>17466.8</v>
      </c>
      <c r="F28" s="198"/>
      <c r="G28" s="19">
        <v>14849.76</v>
      </c>
      <c r="I28" s="98">
        <v>16820.55</v>
      </c>
      <c r="J28" s="98"/>
      <c r="L28" s="17" t="s">
        <v>845</v>
      </c>
      <c r="M28" s="18" t="s">
        <v>2236</v>
      </c>
      <c r="N28" s="19"/>
      <c r="O28" s="19"/>
    </row>
    <row r="29" spans="1:15" s="4" customFormat="1" x14ac:dyDescent="0.25">
      <c r="A29" s="195">
        <v>5381</v>
      </c>
      <c r="B29" s="18" t="s">
        <v>2279</v>
      </c>
      <c r="C29" s="209">
        <v>0</v>
      </c>
      <c r="D29" s="209">
        <v>0</v>
      </c>
      <c r="E29" s="198">
        <v>2044.61</v>
      </c>
      <c r="F29" s="198"/>
      <c r="G29" s="19">
        <v>0</v>
      </c>
      <c r="I29" s="98">
        <v>2117.15</v>
      </c>
      <c r="J29" s="98"/>
    </row>
    <row r="30" spans="1:15" s="4" customFormat="1" x14ac:dyDescent="0.25">
      <c r="A30" s="195" t="s">
        <v>889</v>
      </c>
      <c r="B30" s="18" t="s">
        <v>890</v>
      </c>
      <c r="C30" s="209">
        <v>-450</v>
      </c>
      <c r="D30" s="209">
        <v>-450</v>
      </c>
      <c r="E30" s="198">
        <v>-425.26</v>
      </c>
      <c r="F30" s="198"/>
      <c r="G30" s="19">
        <v>-590.9</v>
      </c>
      <c r="I30" s="98">
        <v>-538.16</v>
      </c>
      <c r="J30" s="98"/>
    </row>
    <row r="31" spans="1:15" s="4" customFormat="1" x14ac:dyDescent="0.25">
      <c r="C31" s="186"/>
      <c r="D31" s="186"/>
      <c r="E31" s="167"/>
      <c r="F31" s="167"/>
      <c r="I31" s="98"/>
      <c r="J31" s="98"/>
    </row>
    <row r="32" spans="1:15" s="4" customFormat="1" x14ac:dyDescent="0.25">
      <c r="C32" s="186"/>
      <c r="D32" s="186"/>
      <c r="E32" s="167"/>
      <c r="F32" s="167"/>
      <c r="G32" s="203"/>
      <c r="I32" s="203"/>
      <c r="J32" s="98"/>
    </row>
    <row r="33" spans="1:11" s="4" customFormat="1" x14ac:dyDescent="0.25">
      <c r="C33" s="186"/>
      <c r="D33" s="186"/>
      <c r="E33" s="167"/>
      <c r="F33" s="167"/>
      <c r="J33" s="98"/>
    </row>
    <row r="34" spans="1:11" s="4" customFormat="1" x14ac:dyDescent="0.25">
      <c r="B34" s="107">
        <v>0.4</v>
      </c>
      <c r="C34" s="167">
        <f t="shared" ref="C34:D34" si="0">SUM(C10:C32)</f>
        <v>73966</v>
      </c>
      <c r="D34" s="167">
        <f t="shared" si="0"/>
        <v>71751</v>
      </c>
      <c r="E34" s="167">
        <f>SUM(E10:E32)</f>
        <v>69484.5</v>
      </c>
      <c r="F34" s="152">
        <f>ROUND(E34*0.4,2)</f>
        <v>27793.8</v>
      </c>
      <c r="G34" s="203">
        <f>SUM(G10:G31)</f>
        <v>72476.399999999994</v>
      </c>
      <c r="H34" s="152">
        <f>ROUND(G34*0.4,2)</f>
        <v>28990.560000000001</v>
      </c>
      <c r="I34" s="203">
        <f>SUM(I10:I31)</f>
        <v>65647.22</v>
      </c>
      <c r="J34" s="152">
        <f>ROUND(I34*0.4,2)</f>
        <v>26258.89</v>
      </c>
      <c r="K34" s="107">
        <v>0.4</v>
      </c>
    </row>
    <row r="35" spans="1:11" s="4" customFormat="1" x14ac:dyDescent="0.25">
      <c r="C35" s="186">
        <f>C34*0.4</f>
        <v>29586.400000000001</v>
      </c>
      <c r="D35" s="186">
        <f>D34*0.4</f>
        <v>28700.400000000001</v>
      </c>
      <c r="E35" s="167"/>
      <c r="F35" s="167" t="s">
        <v>2280</v>
      </c>
      <c r="H35" s="98"/>
      <c r="J35" s="98"/>
    </row>
    <row r="36" spans="1:11" s="4" customFormat="1" x14ac:dyDescent="0.25">
      <c r="B36" s="204">
        <f>H36/G36</f>
        <v>0.45859490010827808</v>
      </c>
      <c r="C36" s="210"/>
      <c r="D36" s="210"/>
      <c r="E36" s="205"/>
      <c r="F36" s="205"/>
      <c r="G36" s="98">
        <f>G7+G34</f>
        <v>193446.45999999996</v>
      </c>
      <c r="H36" s="98">
        <f>H7+H34</f>
        <v>88713.56</v>
      </c>
      <c r="I36" s="98">
        <f>I7+I34</f>
        <v>200675.24000000002</v>
      </c>
      <c r="J36" s="152">
        <f>J7+J34</f>
        <v>95950.25</v>
      </c>
      <c r="K36" s="204">
        <f>J36/I36</f>
        <v>0.47813696398220323</v>
      </c>
    </row>
    <row r="37" spans="1:11" s="4" customFormat="1" x14ac:dyDescent="0.25">
      <c r="C37" s="186"/>
      <c r="D37" s="186"/>
      <c r="E37" s="98"/>
      <c r="F37" s="98"/>
      <c r="I37" s="98"/>
      <c r="J37" s="98"/>
    </row>
    <row r="38" spans="1:11" s="12" customFormat="1" x14ac:dyDescent="0.25">
      <c r="B38" s="153" t="s">
        <v>2281</v>
      </c>
      <c r="C38" s="211"/>
      <c r="D38" s="211"/>
      <c r="E38" s="206"/>
      <c r="F38" s="206"/>
      <c r="G38" s="152">
        <f>H36/2</f>
        <v>44356.78</v>
      </c>
      <c r="J38" s="152">
        <f>(J34/2)+34039.18</f>
        <v>47168.625</v>
      </c>
    </row>
    <row r="39" spans="1:11" s="12" customFormat="1" x14ac:dyDescent="0.25">
      <c r="B39" s="153" t="s">
        <v>2282</v>
      </c>
      <c r="C39" s="211"/>
      <c r="D39" s="211"/>
      <c r="E39" s="206"/>
      <c r="F39" s="206"/>
      <c r="G39" s="152">
        <f>H36/2</f>
        <v>44356.78</v>
      </c>
      <c r="J39" s="152">
        <f>(J34/2)+35652.18</f>
        <v>48781.625</v>
      </c>
    </row>
    <row r="40" spans="1:11" s="4" customFormat="1" x14ac:dyDescent="0.25">
      <c r="B40" s="4" t="s">
        <v>2283</v>
      </c>
      <c r="C40" s="186"/>
      <c r="D40" s="186"/>
      <c r="I40" s="98"/>
      <c r="J40" s="98"/>
    </row>
    <row r="41" spans="1:11" x14ac:dyDescent="0.25">
      <c r="A41" s="4"/>
      <c r="B41" s="86" t="s">
        <v>2284</v>
      </c>
      <c r="C41" s="212"/>
      <c r="D41" s="212"/>
      <c r="E41" s="86"/>
      <c r="F41" s="86"/>
      <c r="G41" s="86"/>
      <c r="H41" s="86"/>
      <c r="I41" s="101"/>
      <c r="J41" s="207"/>
    </row>
    <row r="42" spans="1:11" x14ac:dyDescent="0.25">
      <c r="C42" s="186"/>
      <c r="D42" s="188"/>
    </row>
    <row r="43" spans="1:11" x14ac:dyDescent="0.25">
      <c r="C43" s="186"/>
      <c r="D43" s="188"/>
    </row>
    <row r="44" spans="1:11" x14ac:dyDescent="0.25">
      <c r="C44" s="186"/>
      <c r="D44" s="188"/>
    </row>
    <row r="45" spans="1:11" x14ac:dyDescent="0.25">
      <c r="C45" s="186"/>
      <c r="D45" s="188"/>
    </row>
    <row r="46" spans="1:11" x14ac:dyDescent="0.25">
      <c r="C46" s="186"/>
      <c r="D46" s="188"/>
    </row>
    <row r="47" spans="1:11" x14ac:dyDescent="0.25">
      <c r="C47" s="186"/>
      <c r="D47" s="188"/>
    </row>
    <row r="48" spans="1:11" x14ac:dyDescent="0.25">
      <c r="C48" s="186"/>
      <c r="D48" s="188"/>
    </row>
    <row r="49" spans="3:4" x14ac:dyDescent="0.25">
      <c r="C49" s="186"/>
      <c r="D49" s="188"/>
    </row>
    <row r="50" spans="3:4" x14ac:dyDescent="0.25">
      <c r="C50" s="186"/>
      <c r="D50" s="188"/>
    </row>
    <row r="51" spans="3:4" x14ac:dyDescent="0.25">
      <c r="C51" s="102"/>
      <c r="D51" s="20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100B-94F5-4343-8D1F-F29E393D90DA}">
  <dimension ref="A3:P83"/>
  <sheetViews>
    <sheetView topLeftCell="A41" workbookViewId="0">
      <selection activeCell="A61" sqref="A61"/>
    </sheetView>
  </sheetViews>
  <sheetFormatPr defaultRowHeight="15" x14ac:dyDescent="0.25"/>
  <cols>
    <col min="1" max="1" width="5.140625" style="158" customWidth="1"/>
    <col min="2" max="2" width="10.140625" customWidth="1"/>
    <col min="3" max="3" width="37.7109375" customWidth="1"/>
    <col min="4" max="5" width="15.28515625" customWidth="1"/>
    <col min="6" max="6" width="15" style="146" customWidth="1"/>
    <col min="7" max="7" width="17.28515625" customWidth="1"/>
    <col min="8" max="8" width="20.28515625" customWidth="1"/>
    <col min="10" max="10" width="38.5703125" customWidth="1"/>
    <col min="12" max="12" width="11.28515625" style="182" customWidth="1"/>
    <col min="13" max="13" width="13.42578125" style="182" customWidth="1"/>
    <col min="14" max="14" width="11.7109375" customWidth="1"/>
    <col min="15" max="15" width="11.42578125" customWidth="1"/>
  </cols>
  <sheetData>
    <row r="3" spans="1:16" ht="23.25" x14ac:dyDescent="0.35">
      <c r="A3" s="145" t="s">
        <v>2167</v>
      </c>
    </row>
    <row r="4" spans="1:16" s="147" customFormat="1" x14ac:dyDescent="0.25">
      <c r="D4" s="148" t="s">
        <v>2212</v>
      </c>
      <c r="E4" s="148" t="s">
        <v>2211</v>
      </c>
      <c r="F4" s="148" t="s">
        <v>2168</v>
      </c>
      <c r="G4" s="148" t="s">
        <v>2168</v>
      </c>
      <c r="L4" s="183"/>
      <c r="M4" s="183"/>
    </row>
    <row r="5" spans="1:16" s="147" customFormat="1" x14ac:dyDescent="0.25">
      <c r="A5" s="149"/>
      <c r="B5" s="149" t="s">
        <v>522</v>
      </c>
      <c r="C5" s="149" t="s">
        <v>523</v>
      </c>
      <c r="D5" s="150" t="s">
        <v>2169</v>
      </c>
      <c r="E5" s="150" t="s">
        <v>2210</v>
      </c>
      <c r="F5" s="150" t="s">
        <v>2169</v>
      </c>
      <c r="G5" s="150" t="s">
        <v>2170</v>
      </c>
      <c r="J5"/>
      <c r="K5"/>
      <c r="L5" s="182"/>
      <c r="M5" s="182"/>
      <c r="N5"/>
      <c r="O5"/>
      <c r="P5"/>
    </row>
    <row r="6" spans="1:16" ht="15.75" x14ac:dyDescent="0.25">
      <c r="A6" s="151"/>
      <c r="B6" s="17"/>
      <c r="C6" s="11"/>
      <c r="D6" s="11"/>
      <c r="E6" s="11"/>
      <c r="F6" s="98"/>
      <c r="M6" s="184" t="s">
        <v>2218</v>
      </c>
    </row>
    <row r="7" spans="1:16" ht="18.75" x14ac:dyDescent="0.3">
      <c r="A7" s="151" t="s">
        <v>2171</v>
      </c>
      <c r="B7" s="17" t="s">
        <v>777</v>
      </c>
      <c r="C7" s="18" t="s">
        <v>778</v>
      </c>
      <c r="D7" s="175">
        <v>2500</v>
      </c>
      <c r="E7" s="175">
        <v>2144</v>
      </c>
      <c r="F7" s="98"/>
      <c r="G7" s="98">
        <v>2005.12</v>
      </c>
      <c r="J7" s="22" t="s">
        <v>2200</v>
      </c>
      <c r="K7" s="22"/>
      <c r="L7" s="185" t="s">
        <v>2219</v>
      </c>
      <c r="M7" s="185" t="s">
        <v>2219</v>
      </c>
      <c r="N7" s="164" t="s">
        <v>2201</v>
      </c>
      <c r="O7" s="164" t="s">
        <v>2202</v>
      </c>
    </row>
    <row r="8" spans="1:16" ht="15.75" x14ac:dyDescent="0.25">
      <c r="A8" s="151" t="s">
        <v>2171</v>
      </c>
      <c r="B8" s="17" t="s">
        <v>1310</v>
      </c>
      <c r="C8" s="18" t="s">
        <v>1311</v>
      </c>
      <c r="D8" s="175">
        <v>2000</v>
      </c>
      <c r="E8" s="175">
        <v>1168</v>
      </c>
      <c r="F8" s="98"/>
      <c r="G8" s="98">
        <v>0</v>
      </c>
      <c r="J8" s="165" t="s">
        <v>609</v>
      </c>
      <c r="K8" s="166">
        <v>5512</v>
      </c>
      <c r="L8" s="186">
        <v>1000</v>
      </c>
      <c r="M8" s="186">
        <v>522</v>
      </c>
      <c r="N8" s="167">
        <v>10816.34</v>
      </c>
      <c r="O8" s="168">
        <v>7181.21</v>
      </c>
    </row>
    <row r="9" spans="1:16" ht="15.75" x14ac:dyDescent="0.25">
      <c r="A9" s="151"/>
      <c r="B9" s="11" t="s">
        <v>2172</v>
      </c>
      <c r="D9" s="152">
        <f t="shared" ref="D9:E9" si="0">SUM(D7:D8)</f>
        <v>4500</v>
      </c>
      <c r="E9" s="152">
        <f t="shared" si="0"/>
        <v>3312</v>
      </c>
      <c r="F9" s="152">
        <f>SUM(F7:F8)</f>
        <v>0</v>
      </c>
      <c r="G9" s="152">
        <f>SUM(G7:G8)</f>
        <v>2005.12</v>
      </c>
      <c r="J9" s="165" t="s">
        <v>2203</v>
      </c>
      <c r="K9" s="166">
        <v>5502</v>
      </c>
      <c r="L9" s="186">
        <v>8000</v>
      </c>
      <c r="M9" s="186">
        <v>7590</v>
      </c>
      <c r="N9" s="167">
        <v>2596.84</v>
      </c>
      <c r="O9" s="168">
        <v>5150.3599999999997</v>
      </c>
    </row>
    <row r="10" spans="1:16" ht="15.75" x14ac:dyDescent="0.25">
      <c r="A10" s="151"/>
      <c r="B10" s="17"/>
      <c r="C10" s="18"/>
      <c r="D10" s="175"/>
      <c r="E10" s="175"/>
      <c r="F10" s="98"/>
      <c r="G10" s="98"/>
      <c r="J10" s="165" t="s">
        <v>617</v>
      </c>
      <c r="K10" s="166">
        <v>5528</v>
      </c>
      <c r="L10" s="186">
        <v>1432</v>
      </c>
      <c r="M10" s="186">
        <f>678+515</f>
        <v>1193</v>
      </c>
      <c r="N10" s="167">
        <v>774</v>
      </c>
      <c r="O10" s="168">
        <v>904</v>
      </c>
    </row>
    <row r="11" spans="1:16" ht="15.75" x14ac:dyDescent="0.25">
      <c r="A11" s="151" t="s">
        <v>2173</v>
      </c>
      <c r="B11" s="17" t="s">
        <v>793</v>
      </c>
      <c r="C11" s="18" t="s">
        <v>794</v>
      </c>
      <c r="D11" s="175">
        <v>2500</v>
      </c>
      <c r="E11" s="175">
        <v>1674</v>
      </c>
      <c r="F11" s="98"/>
      <c r="G11" s="98">
        <v>2533.5500000000002</v>
      </c>
      <c r="J11" s="169" t="s">
        <v>2204</v>
      </c>
      <c r="K11" s="170">
        <v>5514</v>
      </c>
      <c r="L11" s="187">
        <v>3000</v>
      </c>
      <c r="M11" s="187">
        <v>385</v>
      </c>
      <c r="N11" s="171">
        <v>1628.56</v>
      </c>
      <c r="O11" s="168">
        <v>756.29</v>
      </c>
    </row>
    <row r="12" spans="1:16" ht="15" customHeight="1" x14ac:dyDescent="0.25">
      <c r="A12" s="151" t="s">
        <v>2173</v>
      </c>
      <c r="B12" s="17" t="s">
        <v>795</v>
      </c>
      <c r="C12" s="18" t="s">
        <v>796</v>
      </c>
      <c r="D12" s="175">
        <v>2000</v>
      </c>
      <c r="E12" s="175">
        <v>471</v>
      </c>
      <c r="F12" s="98"/>
      <c r="G12" s="98">
        <v>358.31</v>
      </c>
      <c r="J12" s="169" t="s">
        <v>2205</v>
      </c>
      <c r="K12" s="170">
        <v>5530</v>
      </c>
      <c r="L12" s="187">
        <v>0</v>
      </c>
      <c r="M12" s="187">
        <v>0</v>
      </c>
      <c r="N12" s="171">
        <v>0</v>
      </c>
      <c r="O12" s="168">
        <v>0</v>
      </c>
    </row>
    <row r="13" spans="1:16" ht="15.75" x14ac:dyDescent="0.25">
      <c r="A13" s="151" t="s">
        <v>2173</v>
      </c>
      <c r="B13" s="17" t="s">
        <v>797</v>
      </c>
      <c r="C13" s="18" t="s">
        <v>798</v>
      </c>
      <c r="D13" s="175">
        <v>2000</v>
      </c>
      <c r="E13" s="175">
        <v>3305</v>
      </c>
      <c r="F13" s="98"/>
      <c r="G13" s="98">
        <v>828.49</v>
      </c>
      <c r="J13" s="169" t="s">
        <v>2206</v>
      </c>
      <c r="K13" s="170">
        <v>5532</v>
      </c>
      <c r="L13" s="187">
        <v>2641</v>
      </c>
      <c r="M13" s="187">
        <f>3714-1184</f>
        <v>2530</v>
      </c>
      <c r="N13" s="171">
        <v>2345.1999999999998</v>
      </c>
      <c r="O13" s="168">
        <v>3756</v>
      </c>
    </row>
    <row r="14" spans="1:16" ht="15.75" x14ac:dyDescent="0.25">
      <c r="A14" s="151" t="s">
        <v>2173</v>
      </c>
      <c r="B14" s="17" t="s">
        <v>813</v>
      </c>
      <c r="C14" s="18" t="s">
        <v>814</v>
      </c>
      <c r="D14" s="175"/>
      <c r="E14" s="175"/>
      <c r="F14" s="98"/>
      <c r="G14" s="98">
        <v>687.26</v>
      </c>
      <c r="J14" s="169" t="s">
        <v>2207</v>
      </c>
      <c r="K14" s="170">
        <v>5522</v>
      </c>
      <c r="L14" s="189">
        <v>1000</v>
      </c>
      <c r="M14" s="189">
        <v>1000</v>
      </c>
      <c r="N14" s="171">
        <v>960.73</v>
      </c>
      <c r="O14" s="168">
        <v>0</v>
      </c>
    </row>
    <row r="15" spans="1:16" s="154" customFormat="1" ht="15.75" x14ac:dyDescent="0.25">
      <c r="A15" s="153" t="s">
        <v>2173</v>
      </c>
      <c r="B15" s="11" t="s">
        <v>2174</v>
      </c>
      <c r="C15" s="11"/>
      <c r="D15" s="152">
        <f t="shared" ref="D15:E15" si="1">SUM(D11:D14)</f>
        <v>6500</v>
      </c>
      <c r="E15" s="152">
        <f t="shared" si="1"/>
        <v>5450</v>
      </c>
      <c r="F15" s="152">
        <f>SUM(F11:F14)</f>
        <v>0</v>
      </c>
      <c r="G15" s="152">
        <f>SUM(G11:G14)</f>
        <v>4407.6100000000006</v>
      </c>
      <c r="J15" s="165" t="s">
        <v>2006</v>
      </c>
      <c r="K15" s="166">
        <v>5516</v>
      </c>
      <c r="L15" s="186">
        <v>5800</v>
      </c>
      <c r="M15" s="186">
        <v>5760</v>
      </c>
      <c r="N15" s="167">
        <v>3774.83</v>
      </c>
      <c r="O15" s="168">
        <v>4004.5</v>
      </c>
      <c r="P15"/>
    </row>
    <row r="16" spans="1:16" ht="15.75" x14ac:dyDescent="0.25">
      <c r="A16" s="151"/>
      <c r="B16" s="17"/>
      <c r="C16" s="18"/>
      <c r="D16" s="175"/>
      <c r="E16" s="175"/>
      <c r="F16" s="98"/>
      <c r="G16" s="98"/>
      <c r="J16" s="169" t="s">
        <v>902</v>
      </c>
      <c r="K16" s="170">
        <v>5524</v>
      </c>
      <c r="L16" s="187">
        <v>2500</v>
      </c>
      <c r="M16" s="187">
        <v>2468</v>
      </c>
      <c r="N16" s="171">
        <v>1442.25</v>
      </c>
      <c r="O16" s="168">
        <v>2463</v>
      </c>
    </row>
    <row r="17" spans="1:16" ht="15.75" x14ac:dyDescent="0.25">
      <c r="A17" s="151" t="s">
        <v>2175</v>
      </c>
      <c r="B17" s="17" t="s">
        <v>779</v>
      </c>
      <c r="C17" s="18" t="s">
        <v>780</v>
      </c>
      <c r="D17" s="175"/>
      <c r="E17" s="175"/>
      <c r="F17" s="98"/>
      <c r="G17" s="98"/>
      <c r="J17" s="169" t="s">
        <v>2208</v>
      </c>
      <c r="K17" s="170">
        <v>5526</v>
      </c>
      <c r="L17" s="187">
        <v>1040</v>
      </c>
      <c r="M17" s="187">
        <v>897</v>
      </c>
      <c r="N17" s="171">
        <v>853.83</v>
      </c>
      <c r="O17" s="168">
        <v>863.34</v>
      </c>
    </row>
    <row r="18" spans="1:16" s="154" customFormat="1" ht="15.75" x14ac:dyDescent="0.25">
      <c r="A18" s="153" t="s">
        <v>2175</v>
      </c>
      <c r="B18" s="11" t="s">
        <v>780</v>
      </c>
      <c r="C18" s="11"/>
      <c r="D18" s="177">
        <v>12000</v>
      </c>
      <c r="E18" s="177">
        <v>11595</v>
      </c>
      <c r="F18" s="152"/>
      <c r="G18" s="152">
        <v>7831</v>
      </c>
      <c r="J18" s="4"/>
      <c r="K18" s="151"/>
      <c r="L18" s="172">
        <f t="shared" ref="L18:M18" si="2">SUM(L8:L17)</f>
        <v>26413</v>
      </c>
      <c r="M18" s="172">
        <f t="shared" si="2"/>
        <v>22345</v>
      </c>
      <c r="N18" s="172">
        <f>SUM(N8:N17)</f>
        <v>25192.58</v>
      </c>
      <c r="O18" s="172">
        <f>SUM(O8:O17)</f>
        <v>25078.7</v>
      </c>
      <c r="P18"/>
    </row>
    <row r="19" spans="1:16" ht="18" x14ac:dyDescent="0.4">
      <c r="A19" s="151"/>
      <c r="B19" s="17"/>
      <c r="C19" s="18"/>
      <c r="D19" s="175"/>
      <c r="E19" s="175"/>
      <c r="F19" s="98"/>
      <c r="G19" s="98"/>
      <c r="J19" s="4" t="s">
        <v>2209</v>
      </c>
      <c r="K19" s="151"/>
      <c r="L19" s="173">
        <f t="shared" ref="L19:M19" si="3">L18*70%</f>
        <v>18489.099999999999</v>
      </c>
      <c r="M19" s="173">
        <f t="shared" si="3"/>
        <v>15641.499999999998</v>
      </c>
      <c r="N19" s="173">
        <f>N18*70%</f>
        <v>17634.806</v>
      </c>
      <c r="O19" s="173">
        <f>O18*70%</f>
        <v>17555.09</v>
      </c>
      <c r="P19" s="174" t="s">
        <v>817</v>
      </c>
    </row>
    <row r="20" spans="1:16" ht="15.75" x14ac:dyDescent="0.25">
      <c r="A20" s="151"/>
      <c r="B20" s="17"/>
      <c r="C20" s="18"/>
      <c r="D20" s="175"/>
      <c r="E20" s="175"/>
      <c r="F20" s="98"/>
      <c r="G20" s="98"/>
      <c r="L20" s="188"/>
      <c r="M20" s="188"/>
    </row>
    <row r="21" spans="1:16" ht="15.75" x14ac:dyDescent="0.25">
      <c r="A21" s="151" t="s">
        <v>2176</v>
      </c>
      <c r="B21" s="17" t="s">
        <v>803</v>
      </c>
      <c r="C21" s="18" t="s">
        <v>804</v>
      </c>
      <c r="D21" s="175">
        <v>4245</v>
      </c>
      <c r="E21" s="175">
        <f>1829+1825</f>
        <v>3654</v>
      </c>
      <c r="F21" s="98"/>
      <c r="G21" s="98">
        <v>2439</v>
      </c>
      <c r="J21" t="s">
        <v>2220</v>
      </c>
      <c r="L21" s="190">
        <f>L18-L19</f>
        <v>7923.9000000000015</v>
      </c>
      <c r="M21" s="190">
        <f t="shared" ref="M21:O21" si="4">M18-M19</f>
        <v>6703.5000000000018</v>
      </c>
      <c r="N21" s="190">
        <f t="shared" si="4"/>
        <v>7557.7740000000013</v>
      </c>
      <c r="O21" s="190">
        <f t="shared" si="4"/>
        <v>7523.6100000000006</v>
      </c>
      <c r="P21" s="154"/>
    </row>
    <row r="22" spans="1:16" ht="15.75" x14ac:dyDescent="0.25">
      <c r="A22" s="151" t="s">
        <v>2176</v>
      </c>
      <c r="B22" s="17" t="s">
        <v>805</v>
      </c>
      <c r="C22" s="18" t="s">
        <v>806</v>
      </c>
      <c r="D22" s="175">
        <v>202</v>
      </c>
      <c r="E22" s="175">
        <f>91+78</f>
        <v>169</v>
      </c>
      <c r="F22" s="98"/>
      <c r="G22" s="98">
        <v>122</v>
      </c>
    </row>
    <row r="23" spans="1:16" ht="15.75" x14ac:dyDescent="0.25">
      <c r="A23" s="151" t="s">
        <v>2176</v>
      </c>
      <c r="B23" s="17" t="s">
        <v>807</v>
      </c>
      <c r="C23" s="18" t="s">
        <v>808</v>
      </c>
      <c r="D23" s="175">
        <v>8235</v>
      </c>
      <c r="E23" s="175">
        <f>4255+1357</f>
        <v>5612</v>
      </c>
      <c r="F23" s="98"/>
      <c r="G23" s="98">
        <v>5673</v>
      </c>
    </row>
    <row r="24" spans="1:16" s="154" customFormat="1" ht="15.75" x14ac:dyDescent="0.25">
      <c r="A24" s="153" t="s">
        <v>2176</v>
      </c>
      <c r="B24" s="155"/>
      <c r="C24" s="11" t="s">
        <v>804</v>
      </c>
      <c r="D24" s="152">
        <f t="shared" ref="D24:E24" si="5">SUM(D21:D23)</f>
        <v>12682</v>
      </c>
      <c r="E24" s="152">
        <f t="shared" si="5"/>
        <v>9435</v>
      </c>
      <c r="F24" s="152">
        <f>SUM(F21:F23)</f>
        <v>0</v>
      </c>
      <c r="G24" s="152">
        <f>SUM(G21:G23)</f>
        <v>8234</v>
      </c>
      <c r="L24" s="184"/>
      <c r="M24" s="184"/>
    </row>
    <row r="25" spans="1:16" ht="15.75" x14ac:dyDescent="0.25">
      <c r="A25" s="151"/>
      <c r="B25" s="17"/>
      <c r="C25" s="18"/>
      <c r="D25" s="175"/>
      <c r="E25" s="175"/>
      <c r="F25" s="98"/>
      <c r="G25" s="98"/>
    </row>
    <row r="26" spans="1:16" ht="15.75" x14ac:dyDescent="0.25">
      <c r="A26" s="151" t="s">
        <v>2177</v>
      </c>
      <c r="B26" s="17" t="s">
        <v>791</v>
      </c>
      <c r="C26" s="18" t="s">
        <v>792</v>
      </c>
      <c r="D26" s="175"/>
      <c r="E26" s="175"/>
      <c r="F26" s="98"/>
      <c r="G26" s="98"/>
    </row>
    <row r="27" spans="1:16" s="154" customFormat="1" ht="15.75" x14ac:dyDescent="0.25">
      <c r="A27" s="153" t="s">
        <v>2177</v>
      </c>
      <c r="B27" s="155"/>
      <c r="C27" s="11" t="s">
        <v>792</v>
      </c>
      <c r="D27" s="177">
        <v>9308</v>
      </c>
      <c r="E27" s="177">
        <v>7145</v>
      </c>
      <c r="F27" s="152"/>
      <c r="G27" s="152">
        <v>6210.32</v>
      </c>
      <c r="L27" s="184"/>
      <c r="M27" s="184"/>
    </row>
    <row r="28" spans="1:16" ht="15.75" x14ac:dyDescent="0.25">
      <c r="A28" s="151"/>
      <c r="B28" s="17"/>
      <c r="C28" s="18"/>
      <c r="D28" s="175"/>
      <c r="E28" s="175"/>
      <c r="F28" s="98"/>
      <c r="G28" s="98"/>
    </row>
    <row r="29" spans="1:16" ht="15.75" x14ac:dyDescent="0.25">
      <c r="A29" s="151" t="s">
        <v>2178</v>
      </c>
      <c r="B29" s="17" t="s">
        <v>801</v>
      </c>
      <c r="C29" s="18" t="s">
        <v>802</v>
      </c>
      <c r="D29" s="175">
        <v>0</v>
      </c>
      <c r="E29" s="175">
        <v>0</v>
      </c>
      <c r="F29" s="98"/>
      <c r="G29" s="98">
        <v>82.5</v>
      </c>
    </row>
    <row r="30" spans="1:16" ht="15.75" x14ac:dyDescent="0.25">
      <c r="A30" s="151" t="s">
        <v>2178</v>
      </c>
      <c r="B30" s="17" t="s">
        <v>809</v>
      </c>
      <c r="C30" s="18" t="s">
        <v>810</v>
      </c>
      <c r="D30" s="175">
        <v>120</v>
      </c>
      <c r="E30" s="175">
        <v>120</v>
      </c>
      <c r="F30" s="98"/>
      <c r="G30" s="98">
        <v>60</v>
      </c>
    </row>
    <row r="31" spans="1:16" ht="15.75" x14ac:dyDescent="0.25">
      <c r="A31" s="151" t="s">
        <v>2178</v>
      </c>
      <c r="B31" s="17" t="s">
        <v>815</v>
      </c>
      <c r="C31" s="18" t="s">
        <v>816</v>
      </c>
      <c r="D31" s="175">
        <v>0</v>
      </c>
      <c r="E31" s="175">
        <v>0</v>
      </c>
      <c r="F31" s="98"/>
      <c r="G31" s="98">
        <v>191.3</v>
      </c>
    </row>
    <row r="32" spans="1:16" s="154" customFormat="1" ht="15.75" x14ac:dyDescent="0.25">
      <c r="A32" s="153" t="s">
        <v>2178</v>
      </c>
      <c r="B32" s="155"/>
      <c r="C32" s="11" t="s">
        <v>816</v>
      </c>
      <c r="D32" s="152">
        <f t="shared" ref="D32:E32" si="6">SUM(D29:D31)</f>
        <v>120</v>
      </c>
      <c r="E32" s="152">
        <f t="shared" si="6"/>
        <v>120</v>
      </c>
      <c r="F32" s="152">
        <f>SUM(F29:F31)</f>
        <v>0</v>
      </c>
      <c r="G32" s="152">
        <f>SUM(G29:G31)</f>
        <v>333.8</v>
      </c>
      <c r="L32" s="184"/>
      <c r="M32" s="184"/>
    </row>
    <row r="33" spans="1:13" ht="15.75" x14ac:dyDescent="0.25">
      <c r="A33" s="151"/>
      <c r="B33" s="17"/>
      <c r="C33" s="18"/>
      <c r="D33" s="175"/>
      <c r="E33" s="175"/>
      <c r="F33" s="98"/>
      <c r="G33" s="98"/>
    </row>
    <row r="34" spans="1:13" ht="15.75" x14ac:dyDescent="0.25">
      <c r="A34" s="151" t="s">
        <v>2179</v>
      </c>
      <c r="B34" s="17" t="s">
        <v>789</v>
      </c>
      <c r="C34" s="18" t="s">
        <v>790</v>
      </c>
      <c r="D34" s="175">
        <v>1000</v>
      </c>
      <c r="E34" s="175">
        <v>894</v>
      </c>
      <c r="F34" s="98"/>
      <c r="G34" s="98">
        <v>2515.67</v>
      </c>
    </row>
    <row r="35" spans="1:13" ht="15.75" x14ac:dyDescent="0.25">
      <c r="A35" s="151"/>
      <c r="B35" s="17">
        <v>5244</v>
      </c>
      <c r="C35" s="18" t="s">
        <v>2180</v>
      </c>
      <c r="D35" s="175">
        <v>2000</v>
      </c>
      <c r="E35" s="175">
        <v>1995</v>
      </c>
      <c r="F35" s="98"/>
      <c r="G35" s="98">
        <v>4459.96</v>
      </c>
    </row>
    <row r="36" spans="1:13" ht="15.75" x14ac:dyDescent="0.25">
      <c r="A36" s="151" t="s">
        <v>2179</v>
      </c>
      <c r="B36" s="17" t="s">
        <v>811</v>
      </c>
      <c r="C36" s="18" t="s">
        <v>812</v>
      </c>
      <c r="D36" s="175">
        <v>3000</v>
      </c>
      <c r="E36" s="175">
        <v>3107</v>
      </c>
      <c r="F36" s="98"/>
      <c r="G36" s="98">
        <v>552.84</v>
      </c>
    </row>
    <row r="37" spans="1:13" s="154" customFormat="1" ht="15.75" x14ac:dyDescent="0.25">
      <c r="A37" s="153" t="s">
        <v>2179</v>
      </c>
      <c r="B37" s="155"/>
      <c r="C37" s="11" t="s">
        <v>2181</v>
      </c>
      <c r="D37" s="152">
        <f t="shared" ref="D37:E37" si="7">SUM(D34:D36)</f>
        <v>6000</v>
      </c>
      <c r="E37" s="152">
        <f t="shared" si="7"/>
        <v>5996</v>
      </c>
      <c r="F37" s="152">
        <f>SUM(F34:F36)</f>
        <v>0</v>
      </c>
      <c r="G37" s="152">
        <f>SUM(G34:G36)</f>
        <v>7528.47</v>
      </c>
      <c r="L37" s="184"/>
      <c r="M37" s="184"/>
    </row>
    <row r="38" spans="1:13" ht="15.75" x14ac:dyDescent="0.25">
      <c r="A38" s="151"/>
      <c r="B38" s="17"/>
      <c r="C38" s="18"/>
      <c r="D38" s="175"/>
      <c r="E38" s="175"/>
      <c r="F38" s="98"/>
      <c r="G38" s="98"/>
    </row>
    <row r="39" spans="1:13" ht="15.75" x14ac:dyDescent="0.25">
      <c r="A39" s="151" t="s">
        <v>2182</v>
      </c>
      <c r="B39" s="17" t="s">
        <v>781</v>
      </c>
      <c r="C39" s="18" t="s">
        <v>782</v>
      </c>
      <c r="D39" s="175">
        <v>3150</v>
      </c>
      <c r="E39" s="175">
        <f>2775+252</f>
        <v>3027</v>
      </c>
      <c r="F39" s="98"/>
      <c r="G39" s="98">
        <v>1912.12</v>
      </c>
    </row>
    <row r="40" spans="1:13" ht="15.75" x14ac:dyDescent="0.25">
      <c r="A40" s="151" t="s">
        <v>2182</v>
      </c>
      <c r="B40" s="17" t="s">
        <v>783</v>
      </c>
      <c r="C40" s="18" t="s">
        <v>784</v>
      </c>
      <c r="D40" s="175">
        <v>3240</v>
      </c>
      <c r="E40" s="175">
        <v>534</v>
      </c>
      <c r="F40" s="98"/>
      <c r="G40" s="98">
        <v>2752.75</v>
      </c>
    </row>
    <row r="41" spans="1:13" ht="15.75" x14ac:dyDescent="0.25">
      <c r="A41" s="151" t="s">
        <v>2182</v>
      </c>
      <c r="B41" s="17" t="s">
        <v>785</v>
      </c>
      <c r="C41" s="18" t="s">
        <v>786</v>
      </c>
      <c r="D41" s="175">
        <v>0</v>
      </c>
      <c r="E41" s="175">
        <v>0</v>
      </c>
      <c r="F41" s="98"/>
      <c r="G41" s="98">
        <v>0</v>
      </c>
    </row>
    <row r="42" spans="1:13" ht="15.75" x14ac:dyDescent="0.25">
      <c r="A42" s="151" t="s">
        <v>2182</v>
      </c>
      <c r="B42" s="17" t="s">
        <v>787</v>
      </c>
      <c r="C42" s="18" t="s">
        <v>788</v>
      </c>
      <c r="D42" s="175">
        <v>2000</v>
      </c>
      <c r="E42" s="175">
        <f>1452+520</f>
        <v>1972</v>
      </c>
      <c r="F42" s="98"/>
      <c r="G42" s="98">
        <v>1950.58</v>
      </c>
    </row>
    <row r="43" spans="1:13" s="154" customFormat="1" ht="15.75" x14ac:dyDescent="0.25">
      <c r="A43" s="153" t="s">
        <v>2182</v>
      </c>
      <c r="B43" s="155"/>
      <c r="C43" s="11" t="s">
        <v>2183</v>
      </c>
      <c r="D43" s="156">
        <f t="shared" ref="D43:E43" si="8">SUM(D39:D42)</f>
        <v>8390</v>
      </c>
      <c r="E43" s="156">
        <f t="shared" si="8"/>
        <v>5533</v>
      </c>
      <c r="F43" s="156">
        <f>SUM(F39:F42)</f>
        <v>0</v>
      </c>
      <c r="G43" s="156">
        <f>SUM(G39:G42)</f>
        <v>6615.45</v>
      </c>
      <c r="L43" s="184"/>
      <c r="M43" s="184"/>
    </row>
    <row r="44" spans="1:13" ht="15.75" x14ac:dyDescent="0.25">
      <c r="A44" s="153"/>
      <c r="B44" s="155"/>
      <c r="C44" s="11"/>
      <c r="D44" s="177"/>
      <c r="E44" s="177"/>
      <c r="F44" s="152"/>
      <c r="G44" s="98"/>
    </row>
    <row r="45" spans="1:13" ht="15.75" x14ac:dyDescent="0.25">
      <c r="A45" s="151"/>
      <c r="B45" s="17"/>
      <c r="C45" s="18"/>
      <c r="D45" s="175"/>
      <c r="E45" s="175"/>
      <c r="F45" s="98"/>
      <c r="G45" s="98"/>
    </row>
    <row r="46" spans="1:13" ht="15.75" x14ac:dyDescent="0.25">
      <c r="A46" s="151"/>
      <c r="B46" s="17"/>
      <c r="C46" s="18"/>
      <c r="D46" s="175"/>
      <c r="E46" s="175"/>
      <c r="F46" s="98"/>
      <c r="G46" s="98"/>
    </row>
    <row r="47" spans="1:13" s="154" customFormat="1" ht="15.75" x14ac:dyDescent="0.25">
      <c r="A47" s="153" t="s">
        <v>2184</v>
      </c>
      <c r="B47" s="155" t="s">
        <v>817</v>
      </c>
      <c r="C47" s="11" t="s">
        <v>2185</v>
      </c>
      <c r="D47" s="181">
        <v>18489</v>
      </c>
      <c r="E47" s="181">
        <v>16640</v>
      </c>
      <c r="F47" s="179"/>
      <c r="G47" s="152">
        <f>N19</f>
        <v>17634.806</v>
      </c>
      <c r="H47" s="154" t="s">
        <v>2217</v>
      </c>
      <c r="L47" s="184"/>
      <c r="M47" s="184"/>
    </row>
    <row r="48" spans="1:13" s="154" customFormat="1" ht="15.75" x14ac:dyDescent="0.25">
      <c r="A48" s="157"/>
      <c r="D48" s="178"/>
      <c r="E48" s="178"/>
      <c r="F48" s="152"/>
      <c r="G48" s="152"/>
      <c r="L48" s="184"/>
      <c r="M48" s="184"/>
    </row>
    <row r="49" spans="1:13" ht="15.75" x14ac:dyDescent="0.25">
      <c r="D49" s="176"/>
      <c r="E49" s="176"/>
      <c r="F49" s="98"/>
      <c r="G49" s="98"/>
    </row>
    <row r="50" spans="1:13" s="154" customFormat="1" ht="15.75" x14ac:dyDescent="0.25">
      <c r="A50" s="157"/>
      <c r="B50" s="154" t="s">
        <v>2186</v>
      </c>
      <c r="D50" s="152">
        <f t="shared" ref="D50:E50" si="9">+D9+D15+D18+D24+D27+D32+D37+D43+D47</f>
        <v>77989</v>
      </c>
      <c r="E50" s="152">
        <f t="shared" si="9"/>
        <v>65226</v>
      </c>
      <c r="F50" s="152">
        <f>+F9+F15+F18+F24+F27+F32+F37+F43+F47</f>
        <v>0</v>
      </c>
      <c r="G50" s="152">
        <f>+G9+G15+G18+G24+G27+G32+G37+G43+G47</f>
        <v>60800.576000000001</v>
      </c>
      <c r="L50" s="184"/>
      <c r="M50" s="184"/>
    </row>
    <row r="51" spans="1:13" ht="15.75" x14ac:dyDescent="0.25">
      <c r="D51" s="176"/>
      <c r="E51" s="176"/>
      <c r="F51" s="98"/>
      <c r="G51" s="98"/>
    </row>
    <row r="52" spans="1:13" ht="15.75" x14ac:dyDescent="0.25">
      <c r="D52" s="176"/>
      <c r="E52" s="176"/>
      <c r="F52" s="98"/>
      <c r="G52" s="98"/>
    </row>
    <row r="53" spans="1:13" ht="15.75" x14ac:dyDescent="0.25">
      <c r="A53" s="158" t="s">
        <v>2187</v>
      </c>
      <c r="B53" s="154" t="s">
        <v>2188</v>
      </c>
      <c r="D53" s="176">
        <v>26000</v>
      </c>
      <c r="E53" s="176">
        <v>20004</v>
      </c>
      <c r="F53" s="152"/>
      <c r="G53" s="152">
        <v>20004</v>
      </c>
    </row>
    <row r="54" spans="1:13" ht="15.75" x14ac:dyDescent="0.25">
      <c r="A54" s="158" t="s">
        <v>2189</v>
      </c>
      <c r="B54" t="s">
        <v>2213</v>
      </c>
      <c r="D54" s="179">
        <v>10000</v>
      </c>
      <c r="E54" s="179">
        <f>14854+66000+12725-60000</f>
        <v>33579</v>
      </c>
      <c r="F54" s="179"/>
      <c r="G54" s="152">
        <f>14795+5375.11+894.28+103.38+819.45</f>
        <v>21987.22</v>
      </c>
    </row>
    <row r="55" spans="1:13" ht="15.75" x14ac:dyDescent="0.25">
      <c r="D55" s="176"/>
      <c r="E55" s="176"/>
      <c r="F55" s="98"/>
      <c r="G55" s="98"/>
    </row>
    <row r="56" spans="1:13" ht="15.75" x14ac:dyDescent="0.25">
      <c r="C56" t="s">
        <v>2190</v>
      </c>
      <c r="D56" s="152">
        <f t="shared" ref="D56:E56" si="10">D50+D53+D54</f>
        <v>113989</v>
      </c>
      <c r="E56" s="152">
        <f t="shared" si="10"/>
        <v>118809</v>
      </c>
      <c r="F56" s="152">
        <f>F50+F53+F54</f>
        <v>0</v>
      </c>
      <c r="G56" s="152">
        <f>G50+G53+G54</f>
        <v>102791.796</v>
      </c>
    </row>
    <row r="57" spans="1:13" ht="15.75" x14ac:dyDescent="0.25">
      <c r="D57" s="176"/>
      <c r="E57" s="176"/>
      <c r="F57" s="98"/>
      <c r="G57" s="98"/>
    </row>
    <row r="58" spans="1:13" ht="15.75" x14ac:dyDescent="0.25">
      <c r="C58" t="s">
        <v>2191</v>
      </c>
      <c r="D58" s="176"/>
      <c r="E58" s="176"/>
      <c r="F58" s="98"/>
      <c r="G58" s="98">
        <v>0</v>
      </c>
    </row>
    <row r="59" spans="1:13" ht="15.75" x14ac:dyDescent="0.25">
      <c r="D59" s="176"/>
      <c r="E59" s="176"/>
      <c r="F59" s="98"/>
      <c r="G59" s="98"/>
    </row>
    <row r="60" spans="1:13" ht="15.75" x14ac:dyDescent="0.25">
      <c r="C60" t="s">
        <v>2192</v>
      </c>
      <c r="D60" s="152">
        <f t="shared" ref="D60:E60" si="11">SUM(D56:D58)</f>
        <v>113989</v>
      </c>
      <c r="E60" s="152">
        <f t="shared" si="11"/>
        <v>118809</v>
      </c>
      <c r="F60" s="152">
        <f>SUM(F56:F58)</f>
        <v>0</v>
      </c>
      <c r="G60" s="152">
        <f>SUM(G56:G58)</f>
        <v>102791.796</v>
      </c>
    </row>
    <row r="61" spans="1:13" ht="15.75" x14ac:dyDescent="0.25">
      <c r="D61" s="176"/>
      <c r="E61" s="176"/>
      <c r="F61" s="98"/>
      <c r="G61" s="98"/>
    </row>
    <row r="62" spans="1:13" x14ac:dyDescent="0.25">
      <c r="C62" t="s">
        <v>2193</v>
      </c>
      <c r="D62" s="176"/>
      <c r="E62" s="176"/>
      <c r="F62" s="159">
        <v>0.35</v>
      </c>
      <c r="G62" s="159">
        <v>0.35</v>
      </c>
      <c r="H62" s="160"/>
    </row>
    <row r="63" spans="1:13" x14ac:dyDescent="0.25">
      <c r="D63" s="176"/>
      <c r="E63" s="176"/>
      <c r="H63" s="160"/>
    </row>
    <row r="64" spans="1:13" ht="15.75" x14ac:dyDescent="0.25">
      <c r="C64" s="154" t="s">
        <v>2193</v>
      </c>
      <c r="D64" s="152">
        <f t="shared" ref="D64:E64" si="12">D60*0.35</f>
        <v>39896.149999999994</v>
      </c>
      <c r="E64" s="152">
        <f t="shared" si="12"/>
        <v>41583.149999999994</v>
      </c>
      <c r="F64" s="152">
        <f>F60*0.35</f>
        <v>0</v>
      </c>
      <c r="G64" s="152">
        <f>G60*0.35</f>
        <v>35977.128599999996</v>
      </c>
      <c r="H64" s="160">
        <v>4180</v>
      </c>
    </row>
    <row r="65" spans="3:8" x14ac:dyDescent="0.25">
      <c r="D65" s="176"/>
      <c r="E65" s="176"/>
      <c r="H65" s="160"/>
    </row>
    <row r="66" spans="3:8" x14ac:dyDescent="0.25">
      <c r="C66" t="s">
        <v>2194</v>
      </c>
      <c r="D66" s="176"/>
      <c r="E66" s="176"/>
      <c r="H66" s="160"/>
    </row>
    <row r="67" spans="3:8" x14ac:dyDescent="0.25">
      <c r="D67" s="176"/>
      <c r="E67" s="176"/>
      <c r="G67" s="146"/>
      <c r="H67" s="160"/>
    </row>
    <row r="68" spans="3:8" x14ac:dyDescent="0.25">
      <c r="C68" t="s">
        <v>2195</v>
      </c>
      <c r="D68" s="176"/>
      <c r="E68" s="176"/>
      <c r="G68" s="146">
        <v>35000</v>
      </c>
      <c r="H68" s="160"/>
    </row>
    <row r="69" spans="3:8" x14ac:dyDescent="0.25">
      <c r="D69" s="176"/>
      <c r="E69" s="176"/>
      <c r="G69" s="146"/>
      <c r="H69" s="160"/>
    </row>
    <row r="70" spans="3:8" x14ac:dyDescent="0.25">
      <c r="C70" t="s">
        <v>2196</v>
      </c>
      <c r="D70" s="176"/>
      <c r="E70" s="176"/>
      <c r="F70" s="161" t="s">
        <v>2197</v>
      </c>
      <c r="G70" s="162">
        <f>G64-G68</f>
        <v>977.12859999999637</v>
      </c>
      <c r="H70" s="160"/>
    </row>
    <row r="71" spans="3:8" x14ac:dyDescent="0.25">
      <c r="C71" t="s">
        <v>2198</v>
      </c>
      <c r="D71" s="176"/>
      <c r="E71" s="176"/>
      <c r="G71" s="146">
        <v>3067.6</v>
      </c>
      <c r="H71" s="160">
        <v>2054</v>
      </c>
    </row>
    <row r="72" spans="3:8" x14ac:dyDescent="0.25">
      <c r="D72" s="176"/>
      <c r="E72" s="176"/>
    </row>
    <row r="73" spans="3:8" x14ac:dyDescent="0.25">
      <c r="C73" t="s">
        <v>2199</v>
      </c>
      <c r="D73" s="176"/>
      <c r="E73" s="176"/>
      <c r="G73" s="163">
        <f>G71-G70</f>
        <v>2090.4714000000035</v>
      </c>
    </row>
    <row r="74" spans="3:8" x14ac:dyDescent="0.25">
      <c r="D74" s="176"/>
      <c r="E74" s="176"/>
    </row>
    <row r="75" spans="3:8" ht="26.25" x14ac:dyDescent="0.25">
      <c r="C75" s="180" t="s">
        <v>2214</v>
      </c>
      <c r="E75" s="176"/>
    </row>
    <row r="76" spans="3:8" x14ac:dyDescent="0.25">
      <c r="D76" s="176"/>
      <c r="E76" s="176"/>
    </row>
    <row r="77" spans="3:8" x14ac:dyDescent="0.25">
      <c r="C77" t="s">
        <v>2215</v>
      </c>
      <c r="D77" s="176"/>
      <c r="E77" s="176"/>
    </row>
    <row r="78" spans="3:8" x14ac:dyDescent="0.25">
      <c r="C78" t="s">
        <v>2216</v>
      </c>
      <c r="D78" s="176"/>
      <c r="E78" s="176"/>
    </row>
    <row r="79" spans="3:8" x14ac:dyDescent="0.25">
      <c r="D79" s="176"/>
      <c r="E79" s="176"/>
    </row>
    <row r="80" spans="3:8" x14ac:dyDescent="0.25">
      <c r="D80" s="176"/>
      <c r="E80" s="176"/>
    </row>
    <row r="81" spans="4:5" x14ac:dyDescent="0.25">
      <c r="D81" s="176"/>
      <c r="E81" s="176"/>
    </row>
    <row r="82" spans="4:5" x14ac:dyDescent="0.25">
      <c r="D82" s="176"/>
      <c r="E82" s="176"/>
    </row>
    <row r="83" spans="4:5" x14ac:dyDescent="0.25">
      <c r="D83" s="176"/>
      <c r="E83" s="176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9A13B-E69E-4D11-B54F-DF509C766EF6}">
  <dimension ref="E1:I26"/>
  <sheetViews>
    <sheetView topLeftCell="B1" workbookViewId="0">
      <selection activeCell="P3" sqref="P3"/>
    </sheetView>
  </sheetViews>
  <sheetFormatPr defaultRowHeight="15" x14ac:dyDescent="0.25"/>
  <cols>
    <col min="5" max="5" width="16" customWidth="1"/>
    <col min="6" max="6" width="16.85546875" customWidth="1"/>
    <col min="7" max="7" width="20" customWidth="1"/>
    <col min="8" max="8" width="21.5703125" customWidth="1"/>
    <col min="9" max="9" width="14.28515625" bestFit="1" customWidth="1"/>
  </cols>
  <sheetData>
    <row r="1" spans="5:9" ht="26.25" x14ac:dyDescent="0.4">
      <c r="E1" s="141"/>
      <c r="F1" s="141"/>
      <c r="G1" s="141"/>
    </row>
    <row r="2" spans="5:9" ht="26.25" x14ac:dyDescent="0.4">
      <c r="E2" s="141" t="s">
        <v>2134</v>
      </c>
      <c r="F2" s="141"/>
      <c r="G2" s="141"/>
    </row>
    <row r="3" spans="5:9" ht="26.25" x14ac:dyDescent="0.4">
      <c r="E3" s="141"/>
      <c r="F3" s="141"/>
      <c r="G3" s="141"/>
    </row>
    <row r="4" spans="5:9" ht="47.25" x14ac:dyDescent="0.25">
      <c r="E4" s="124" t="s">
        <v>2123</v>
      </c>
      <c r="F4" s="124" t="s">
        <v>2124</v>
      </c>
      <c r="G4" s="124" t="s">
        <v>2125</v>
      </c>
      <c r="H4" s="124" t="s">
        <v>2129</v>
      </c>
    </row>
    <row r="5" spans="5:9" ht="15.75" x14ac:dyDescent="0.25">
      <c r="E5" s="132"/>
      <c r="F5" s="133"/>
      <c r="G5" s="133"/>
      <c r="H5" s="134" t="s">
        <v>2128</v>
      </c>
    </row>
    <row r="6" spans="5:9" ht="15.75" x14ac:dyDescent="0.25">
      <c r="E6" s="125">
        <v>151300</v>
      </c>
      <c r="F6" s="126">
        <v>17936054</v>
      </c>
      <c r="G6" s="126">
        <v>31167888</v>
      </c>
      <c r="H6" s="127">
        <f>F6+G6</f>
        <v>49103942</v>
      </c>
    </row>
    <row r="7" spans="5:9" ht="15.75" x14ac:dyDescent="0.25">
      <c r="E7" s="125">
        <v>15301</v>
      </c>
      <c r="F7" s="126">
        <v>6161500</v>
      </c>
      <c r="G7" s="126">
        <v>13541100</v>
      </c>
      <c r="H7" s="127">
        <f>F7+G7</f>
        <v>19702600</v>
      </c>
      <c r="I7">
        <v>1</v>
      </c>
    </row>
    <row r="8" spans="5:9" ht="15.75" x14ac:dyDescent="0.25">
      <c r="E8" s="129" t="s">
        <v>2126</v>
      </c>
      <c r="F8" s="126">
        <f>SUM(F6:F7)</f>
        <v>24097554</v>
      </c>
      <c r="G8" s="126">
        <f>SUM(G6:G7)</f>
        <v>44708988</v>
      </c>
      <c r="H8" s="127">
        <f>F8+G8</f>
        <v>68806542</v>
      </c>
      <c r="I8" s="119">
        <f>H8*0.01</f>
        <v>688065.42</v>
      </c>
    </row>
    <row r="9" spans="5:9" ht="15.75" x14ac:dyDescent="0.25">
      <c r="E9" s="125"/>
      <c r="F9" s="126"/>
      <c r="G9" s="126"/>
      <c r="H9" s="4"/>
    </row>
    <row r="10" spans="5:9" ht="15.75" x14ac:dyDescent="0.25">
      <c r="E10" s="135"/>
      <c r="F10" s="136"/>
      <c r="G10" s="136"/>
      <c r="H10" s="134" t="s">
        <v>2127</v>
      </c>
    </row>
    <row r="11" spans="5:9" ht="15.75" x14ac:dyDescent="0.25">
      <c r="E11" s="125">
        <v>151300</v>
      </c>
      <c r="F11" s="126">
        <v>17837242</v>
      </c>
      <c r="G11" s="126">
        <v>28654588</v>
      </c>
      <c r="H11" s="126">
        <v>46491830</v>
      </c>
      <c r="I11" s="119"/>
    </row>
    <row r="12" spans="5:9" ht="15.75" x14ac:dyDescent="0.25">
      <c r="E12" s="125">
        <v>15301</v>
      </c>
      <c r="F12" s="126">
        <v>4979600</v>
      </c>
      <c r="G12" s="126">
        <v>13085100</v>
      </c>
      <c r="H12" s="126">
        <v>18064700</v>
      </c>
      <c r="I12" s="119"/>
    </row>
    <row r="13" spans="5:9" ht="15.75" x14ac:dyDescent="0.25">
      <c r="E13" s="125" t="s">
        <v>2126</v>
      </c>
      <c r="F13" s="126">
        <f>SUM(F11:F12)</f>
        <v>22816842</v>
      </c>
      <c r="G13" s="126">
        <f>SUM(G11:G12)</f>
        <v>41739688</v>
      </c>
      <c r="H13" s="126">
        <v>64556530</v>
      </c>
      <c r="I13" s="119"/>
    </row>
    <row r="14" spans="5:9" ht="15.75" x14ac:dyDescent="0.25">
      <c r="E14" s="128"/>
      <c r="F14" s="126"/>
      <c r="G14" s="126"/>
      <c r="H14" s="4"/>
    </row>
    <row r="15" spans="5:9" ht="15.75" x14ac:dyDescent="0.25">
      <c r="E15" s="137" t="s">
        <v>2130</v>
      </c>
      <c r="F15" s="138"/>
      <c r="G15" s="126"/>
      <c r="H15" s="4"/>
    </row>
    <row r="16" spans="5:9" ht="15.75" x14ac:dyDescent="0.25">
      <c r="E16" s="125"/>
      <c r="F16" s="130" t="s">
        <v>1943</v>
      </c>
      <c r="G16" s="130" t="s">
        <v>2131</v>
      </c>
      <c r="H16" s="131" t="s">
        <v>2132</v>
      </c>
    </row>
    <row r="17" spans="5:8" ht="15.75" x14ac:dyDescent="0.25">
      <c r="E17" s="125"/>
      <c r="F17" s="139">
        <f>F8/F13-1</f>
        <v>5.6130116516562634E-2</v>
      </c>
      <c r="G17" s="139">
        <f>G8/G13-1</f>
        <v>7.1138528874485019E-2</v>
      </c>
      <c r="H17" s="139">
        <f>H8/H13-1</f>
        <v>6.5833959786872009E-2</v>
      </c>
    </row>
    <row r="18" spans="5:8" x14ac:dyDescent="0.25">
      <c r="E18" s="120"/>
      <c r="F18" s="121"/>
      <c r="G18" s="121"/>
    </row>
    <row r="19" spans="5:8" ht="18.75" x14ac:dyDescent="0.3">
      <c r="E19" s="120"/>
      <c r="F19" s="140" t="s">
        <v>2133</v>
      </c>
      <c r="G19" s="121"/>
      <c r="H19" s="119"/>
    </row>
    <row r="20" spans="5:8" x14ac:dyDescent="0.25">
      <c r="E20" s="120"/>
      <c r="F20" s="120"/>
      <c r="G20" s="122"/>
    </row>
    <row r="21" spans="5:8" x14ac:dyDescent="0.25">
      <c r="E21" s="120"/>
      <c r="F21" s="120"/>
      <c r="G21" s="120"/>
    </row>
    <row r="22" spans="5:8" x14ac:dyDescent="0.25">
      <c r="E22" s="120"/>
      <c r="F22" s="120"/>
      <c r="G22" s="120"/>
    </row>
    <row r="23" spans="5:8" x14ac:dyDescent="0.25">
      <c r="E23" s="120"/>
      <c r="F23" s="120"/>
      <c r="G23" s="123"/>
    </row>
    <row r="24" spans="5:8" x14ac:dyDescent="0.25">
      <c r="E24" s="120"/>
      <c r="F24" s="120"/>
      <c r="G24" s="123"/>
    </row>
    <row r="25" spans="5:8" x14ac:dyDescent="0.25">
      <c r="E25" s="120"/>
      <c r="F25" s="120"/>
      <c r="G25" s="120"/>
    </row>
    <row r="26" spans="5:8" x14ac:dyDescent="0.25">
      <c r="E26" s="120"/>
      <c r="F26" s="120"/>
      <c r="G26" s="122"/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5D1F3-FE8C-468C-800D-108E62A2A790}">
  <dimension ref="A2:S109"/>
  <sheetViews>
    <sheetView zoomScaleNormal="100" workbookViewId="0">
      <selection activeCell="B2" sqref="B2"/>
    </sheetView>
  </sheetViews>
  <sheetFormatPr defaultRowHeight="15" x14ac:dyDescent="0.25"/>
  <cols>
    <col min="1" max="1" width="9.7109375" customWidth="1"/>
    <col min="2" max="2" width="16.140625" customWidth="1"/>
    <col min="3" max="3" width="43" customWidth="1"/>
    <col min="4" max="4" width="16" style="208" customWidth="1"/>
    <col min="5" max="5" width="14.42578125" style="208" customWidth="1"/>
    <col min="6" max="6" width="13.28515625" style="176" customWidth="1"/>
    <col min="7" max="7" width="15.42578125" style="329" customWidth="1"/>
    <col min="8" max="8" width="13.28515625" style="208" customWidth="1"/>
    <col min="9" max="9" width="14.42578125" style="208" customWidth="1"/>
    <col min="10" max="10" width="15.5703125" style="208" customWidth="1"/>
    <col min="11" max="11" width="11.140625" style="208" hidden="1" customWidth="1"/>
    <col min="12" max="12" width="15.42578125" style="208" customWidth="1"/>
    <col min="13" max="13" width="11.140625" style="208" customWidth="1"/>
    <col min="14" max="14" width="36.7109375" customWidth="1"/>
  </cols>
  <sheetData>
    <row r="2" spans="1:17" s="243" customFormat="1" ht="30" customHeight="1" x14ac:dyDescent="0.55000000000000004">
      <c r="C2" s="244" t="s">
        <v>2328</v>
      </c>
      <c r="D2" s="245" t="s">
        <v>2329</v>
      </c>
      <c r="E2" s="246"/>
      <c r="F2" s="247"/>
      <c r="G2" s="248"/>
      <c r="H2" s="248"/>
      <c r="I2" s="248"/>
      <c r="J2" s="248"/>
      <c r="K2" s="248"/>
      <c r="L2" s="248"/>
      <c r="M2" s="248"/>
    </row>
    <row r="3" spans="1:17" s="243" customFormat="1" ht="21" x14ac:dyDescent="0.35">
      <c r="C3" s="244" t="s">
        <v>2330</v>
      </c>
      <c r="D3" s="248"/>
      <c r="E3" s="248"/>
      <c r="F3" s="247"/>
      <c r="G3" s="248"/>
      <c r="H3" s="248"/>
      <c r="I3" s="248"/>
      <c r="J3" s="248"/>
      <c r="K3" s="248"/>
      <c r="L3" s="248"/>
      <c r="M3" s="248"/>
      <c r="P3" s="243">
        <f>192.27*53/90</f>
        <v>113.22566666666668</v>
      </c>
    </row>
    <row r="4" spans="1:17" s="243" customFormat="1" ht="21" x14ac:dyDescent="0.35">
      <c r="A4" s="249" t="s">
        <v>2331</v>
      </c>
      <c r="C4" s="244" t="s">
        <v>2332</v>
      </c>
      <c r="D4" s="246"/>
      <c r="E4" s="246"/>
      <c r="F4" s="247"/>
      <c r="G4" s="248"/>
      <c r="H4" s="248"/>
      <c r="I4" s="248"/>
      <c r="J4" s="248"/>
      <c r="K4" s="248"/>
      <c r="L4" s="248"/>
      <c r="M4" s="248"/>
    </row>
    <row r="5" spans="1:17" s="249" customFormat="1" ht="21" x14ac:dyDescent="0.35">
      <c r="A5" s="250"/>
      <c r="B5" s="250"/>
      <c r="C5" s="250"/>
      <c r="D5" s="251" t="s">
        <v>2333</v>
      </c>
      <c r="E5" s="252" t="s">
        <v>2334</v>
      </c>
      <c r="F5" s="253" t="s">
        <v>2335</v>
      </c>
      <c r="G5" s="253" t="s">
        <v>2336</v>
      </c>
      <c r="H5" s="253" t="s">
        <v>2337</v>
      </c>
      <c r="I5" s="253" t="s">
        <v>2338</v>
      </c>
      <c r="J5" s="253" t="s">
        <v>2339</v>
      </c>
      <c r="K5" s="254" t="s">
        <v>2340</v>
      </c>
      <c r="L5" s="254" t="s">
        <v>2341</v>
      </c>
      <c r="M5" s="254" t="s">
        <v>2342</v>
      </c>
      <c r="N5" s="255" t="s">
        <v>2343</v>
      </c>
      <c r="O5" s="12"/>
      <c r="P5" s="12"/>
      <c r="Q5" s="12"/>
    </row>
    <row r="6" spans="1:17" s="154" customFormat="1" x14ac:dyDescent="0.25">
      <c r="A6" s="256" t="s">
        <v>2344</v>
      </c>
      <c r="B6" s="256" t="s">
        <v>2345</v>
      </c>
      <c r="C6" s="256" t="s">
        <v>2346</v>
      </c>
      <c r="D6" s="252" t="s">
        <v>2347</v>
      </c>
      <c r="E6" s="252" t="s">
        <v>2348</v>
      </c>
      <c r="F6" s="257" t="s">
        <v>2349</v>
      </c>
      <c r="G6" s="257" t="s">
        <v>2350</v>
      </c>
      <c r="H6" s="257" t="s">
        <v>2351</v>
      </c>
      <c r="I6" s="257" t="s">
        <v>2352</v>
      </c>
      <c r="J6" s="257" t="s">
        <v>2353</v>
      </c>
      <c r="K6" s="258" t="s">
        <v>2354</v>
      </c>
      <c r="L6" s="258" t="s">
        <v>2355</v>
      </c>
      <c r="M6" s="258" t="s">
        <v>2356</v>
      </c>
      <c r="N6" s="259"/>
    </row>
    <row r="7" spans="1:17" ht="15.75" x14ac:dyDescent="0.25">
      <c r="A7" s="260"/>
      <c r="B7" s="261"/>
      <c r="C7" s="261"/>
      <c r="D7" s="262"/>
      <c r="E7" s="262"/>
      <c r="F7" s="263"/>
      <c r="G7" s="264"/>
      <c r="H7" s="262"/>
      <c r="I7" s="262"/>
      <c r="J7" s="262"/>
      <c r="K7" s="265"/>
      <c r="L7" s="265"/>
      <c r="M7" s="265"/>
      <c r="N7" s="261"/>
    </row>
    <row r="8" spans="1:17" ht="21" x14ac:dyDescent="0.35">
      <c r="A8" s="266" t="s">
        <v>2357</v>
      </c>
      <c r="B8" s="267"/>
      <c r="C8" s="267"/>
      <c r="D8" s="268"/>
      <c r="E8" s="268"/>
      <c r="F8" s="269"/>
      <c r="G8" s="270"/>
      <c r="H8" s="268"/>
      <c r="I8" s="268"/>
      <c r="J8" s="268"/>
      <c r="K8" s="271"/>
      <c r="L8" s="271"/>
      <c r="M8" s="271"/>
      <c r="N8" s="260"/>
    </row>
    <row r="9" spans="1:17" ht="15.75" x14ac:dyDescent="0.25">
      <c r="A9" s="272"/>
      <c r="B9" s="273" t="s">
        <v>1410</v>
      </c>
      <c r="C9" s="273"/>
      <c r="D9" s="274"/>
      <c r="E9" s="274"/>
      <c r="F9" s="275"/>
      <c r="G9" s="276"/>
      <c r="H9" s="274"/>
      <c r="I9" s="274"/>
      <c r="J9" s="274"/>
      <c r="K9" s="271"/>
      <c r="L9" s="271"/>
      <c r="M9" s="271"/>
      <c r="N9" s="260"/>
    </row>
    <row r="10" spans="1:17" ht="15.75" x14ac:dyDescent="0.25">
      <c r="A10" s="260"/>
      <c r="B10" s="277" t="s">
        <v>2358</v>
      </c>
      <c r="C10" s="277" t="s">
        <v>2359</v>
      </c>
      <c r="D10" s="269" t="s">
        <v>2360</v>
      </c>
      <c r="E10" s="268"/>
      <c r="F10" s="269" t="s">
        <v>2360</v>
      </c>
      <c r="G10" s="269" t="s">
        <v>2360</v>
      </c>
      <c r="H10" s="269" t="s">
        <v>2360</v>
      </c>
      <c r="I10" s="269" t="s">
        <v>2360</v>
      </c>
      <c r="J10" s="269" t="s">
        <v>2360</v>
      </c>
      <c r="K10" s="271"/>
      <c r="L10" s="271"/>
      <c r="M10" s="271"/>
      <c r="N10" s="260"/>
    </row>
    <row r="11" spans="1:17" ht="15.75" x14ac:dyDescent="0.25">
      <c r="A11" s="260"/>
      <c r="B11" s="277" t="s">
        <v>2358</v>
      </c>
      <c r="C11" s="277" t="s">
        <v>2361</v>
      </c>
      <c r="D11" s="268">
        <f>SUM(F11:J11)</f>
        <v>6000</v>
      </c>
      <c r="E11" s="268">
        <f>D11-ROUND(D11/1.15,0)</f>
        <v>783</v>
      </c>
      <c r="F11" s="269">
        <v>6000</v>
      </c>
      <c r="G11" s="269"/>
      <c r="H11" s="269"/>
      <c r="I11" s="269"/>
      <c r="J11" s="269"/>
      <c r="K11" s="271"/>
      <c r="L11" s="271"/>
      <c r="M11" s="271"/>
      <c r="N11" s="260"/>
    </row>
    <row r="12" spans="1:17" ht="15.75" x14ac:dyDescent="0.25">
      <c r="A12" s="260">
        <v>1655</v>
      </c>
      <c r="B12" s="277" t="s">
        <v>2362</v>
      </c>
      <c r="C12" s="277" t="s">
        <v>2363</v>
      </c>
      <c r="D12" s="268">
        <f>SUM(F12:J12)</f>
        <v>3200</v>
      </c>
      <c r="E12" s="268">
        <f>D12-ROUND(D12/1.15,0)</f>
        <v>417</v>
      </c>
      <c r="F12" s="269"/>
      <c r="G12" s="270">
        <v>800</v>
      </c>
      <c r="H12" s="268">
        <v>800</v>
      </c>
      <c r="I12" s="268">
        <v>800</v>
      </c>
      <c r="J12" s="268">
        <v>800</v>
      </c>
      <c r="K12" s="271"/>
      <c r="L12" s="271"/>
      <c r="M12" s="271"/>
      <c r="N12" s="260"/>
    </row>
    <row r="13" spans="1:17" ht="15.75" x14ac:dyDescent="0.25">
      <c r="A13" s="260"/>
      <c r="B13" s="277"/>
      <c r="C13" s="277" t="s">
        <v>2364</v>
      </c>
      <c r="D13" s="268">
        <f t="shared" ref="D13" si="0">SUM(F13:J13)</f>
        <v>0</v>
      </c>
      <c r="E13" s="268">
        <f>D13-ROUND(D13/1.15,0)</f>
        <v>0</v>
      </c>
      <c r="F13" s="269"/>
      <c r="G13" s="270"/>
      <c r="H13" s="268"/>
      <c r="I13" s="268"/>
      <c r="J13" s="268"/>
      <c r="K13" s="271"/>
      <c r="L13" s="271"/>
      <c r="M13" s="271" t="s">
        <v>2365</v>
      </c>
      <c r="N13" s="260"/>
      <c r="Q13">
        <v>19765.79</v>
      </c>
    </row>
    <row r="14" spans="1:17" ht="15.75" x14ac:dyDescent="0.25">
      <c r="A14" s="272"/>
      <c r="B14" s="273" t="s">
        <v>1820</v>
      </c>
      <c r="C14" s="273"/>
      <c r="D14" s="274"/>
      <c r="E14" s="274"/>
      <c r="F14" s="275"/>
      <c r="G14" s="276"/>
      <c r="H14" s="274"/>
      <c r="I14" s="274"/>
      <c r="J14" s="274"/>
      <c r="K14" s="271"/>
      <c r="L14" s="271"/>
      <c r="M14" s="271"/>
      <c r="N14" s="260"/>
      <c r="Q14">
        <f>Q13*1.15</f>
        <v>22730.658499999998</v>
      </c>
    </row>
    <row r="15" spans="1:17" ht="15.75" x14ac:dyDescent="0.25">
      <c r="A15" s="260">
        <v>1645</v>
      </c>
      <c r="B15" s="277" t="s">
        <v>1181</v>
      </c>
      <c r="C15" s="277" t="s">
        <v>2366</v>
      </c>
      <c r="D15" s="268">
        <f>SUM(F15:J15)</f>
        <v>8500</v>
      </c>
      <c r="E15" s="268">
        <f t="shared" ref="E15:E19" si="1">D15-ROUND(D15/1.15,0)</f>
        <v>1109</v>
      </c>
      <c r="F15" s="269"/>
      <c r="G15" s="270">
        <v>8500</v>
      </c>
      <c r="H15" s="268"/>
      <c r="I15" s="268"/>
      <c r="J15" s="268"/>
      <c r="K15" s="271"/>
      <c r="L15" s="271"/>
      <c r="M15" s="271"/>
      <c r="N15" s="260" t="s">
        <v>2367</v>
      </c>
    </row>
    <row r="16" spans="1:17" ht="15.75" x14ac:dyDescent="0.25">
      <c r="A16" s="260">
        <v>1664</v>
      </c>
      <c r="B16" s="277" t="s">
        <v>2368</v>
      </c>
      <c r="C16" s="277" t="s">
        <v>2369</v>
      </c>
      <c r="D16" s="268"/>
      <c r="E16" s="268"/>
      <c r="F16" s="269" t="s">
        <v>2360</v>
      </c>
      <c r="G16" s="278" t="s">
        <v>2360</v>
      </c>
      <c r="H16" s="278" t="s">
        <v>2360</v>
      </c>
      <c r="I16" s="278" t="s">
        <v>2360</v>
      </c>
      <c r="J16" s="278" t="s">
        <v>2360</v>
      </c>
      <c r="K16" s="271"/>
      <c r="L16" s="271"/>
      <c r="M16" s="271"/>
      <c r="N16" s="260"/>
    </row>
    <row r="17" spans="1:14" ht="15.75" x14ac:dyDescent="0.25">
      <c r="A17" s="260">
        <v>1627</v>
      </c>
      <c r="B17" s="277" t="s">
        <v>667</v>
      </c>
      <c r="C17" s="277" t="s">
        <v>2370</v>
      </c>
      <c r="D17" s="268">
        <f>SUM(F17:J17)</f>
        <v>675000</v>
      </c>
      <c r="E17" s="268">
        <f t="shared" si="1"/>
        <v>88043</v>
      </c>
      <c r="F17" s="269"/>
      <c r="G17" s="270">
        <v>675000</v>
      </c>
      <c r="H17" s="268"/>
      <c r="I17" s="268"/>
      <c r="J17" s="268"/>
      <c r="K17" s="271"/>
      <c r="L17" s="271"/>
      <c r="M17" s="271"/>
      <c r="N17" s="260" t="s">
        <v>2371</v>
      </c>
    </row>
    <row r="18" spans="1:14" ht="15.75" x14ac:dyDescent="0.25">
      <c r="A18" s="260">
        <v>1625</v>
      </c>
      <c r="B18" s="277" t="s">
        <v>2372</v>
      </c>
      <c r="C18" s="277" t="s">
        <v>2373</v>
      </c>
      <c r="D18" s="268">
        <f>SUM(F18:J18)</f>
        <v>50000</v>
      </c>
      <c r="E18" s="268">
        <f t="shared" si="1"/>
        <v>6522</v>
      </c>
      <c r="F18" s="269">
        <v>10000</v>
      </c>
      <c r="G18" s="270">
        <v>10000</v>
      </c>
      <c r="H18" s="268">
        <v>10000</v>
      </c>
      <c r="I18" s="268">
        <v>10000</v>
      </c>
      <c r="J18" s="268">
        <v>10000</v>
      </c>
      <c r="K18" s="271"/>
      <c r="L18" s="271">
        <v>3500</v>
      </c>
      <c r="M18" s="271"/>
      <c r="N18" s="260" t="s">
        <v>2374</v>
      </c>
    </row>
    <row r="19" spans="1:14" ht="15.75" x14ac:dyDescent="0.25">
      <c r="A19" s="260">
        <v>1625</v>
      </c>
      <c r="B19" s="277" t="s">
        <v>2375</v>
      </c>
      <c r="C19" s="277" t="s">
        <v>2376</v>
      </c>
      <c r="D19" s="268">
        <f>SUM(F19:J19)</f>
        <v>15000</v>
      </c>
      <c r="E19" s="268">
        <f t="shared" si="1"/>
        <v>1957</v>
      </c>
      <c r="F19" s="269">
        <v>3000</v>
      </c>
      <c r="G19" s="270">
        <v>3000</v>
      </c>
      <c r="H19" s="268">
        <v>3000</v>
      </c>
      <c r="I19" s="268">
        <v>3000</v>
      </c>
      <c r="J19" s="268">
        <v>3000</v>
      </c>
      <c r="K19" s="271"/>
      <c r="L19" s="271"/>
      <c r="M19" s="271"/>
      <c r="N19" s="260"/>
    </row>
    <row r="20" spans="1:14" ht="15.75" x14ac:dyDescent="0.25">
      <c r="A20" s="260"/>
      <c r="B20" s="277" t="s">
        <v>2368</v>
      </c>
      <c r="C20" s="277" t="s">
        <v>2377</v>
      </c>
      <c r="D20" s="268"/>
      <c r="E20" s="268"/>
      <c r="F20" s="269" t="s">
        <v>2360</v>
      </c>
      <c r="G20" s="269" t="s">
        <v>2360</v>
      </c>
      <c r="H20" s="269" t="s">
        <v>2360</v>
      </c>
      <c r="I20" s="269" t="s">
        <v>2360</v>
      </c>
      <c r="J20" s="269" t="s">
        <v>2360</v>
      </c>
      <c r="K20" s="271"/>
      <c r="L20" s="271"/>
      <c r="M20" s="271"/>
      <c r="N20" s="260"/>
    </row>
    <row r="21" spans="1:14" ht="15.75" x14ac:dyDescent="0.25">
      <c r="A21" s="279"/>
      <c r="B21" s="280" t="s">
        <v>2378</v>
      </c>
      <c r="C21" s="281"/>
      <c r="D21" s="274"/>
      <c r="E21" s="274"/>
      <c r="F21" s="275"/>
      <c r="G21" s="276"/>
      <c r="H21" s="274"/>
      <c r="I21" s="274"/>
      <c r="J21" s="274"/>
      <c r="K21" s="271"/>
      <c r="L21" s="271"/>
      <c r="M21" s="271"/>
      <c r="N21" s="260"/>
    </row>
    <row r="22" spans="1:14" ht="15.75" x14ac:dyDescent="0.25">
      <c r="A22" s="260"/>
      <c r="B22" s="277"/>
      <c r="C22" s="277"/>
      <c r="D22" s="268"/>
      <c r="E22" s="268"/>
      <c r="F22" s="269"/>
      <c r="G22" s="270"/>
      <c r="H22" s="268"/>
      <c r="I22" s="268"/>
      <c r="J22" s="268"/>
      <c r="K22" s="271"/>
      <c r="L22" s="271"/>
      <c r="M22" s="271"/>
      <c r="N22" s="260"/>
    </row>
    <row r="23" spans="1:14" ht="15.75" x14ac:dyDescent="0.25">
      <c r="A23" s="272"/>
      <c r="B23" s="273" t="s">
        <v>2379</v>
      </c>
      <c r="C23" s="273"/>
      <c r="D23" s="274"/>
      <c r="E23" s="274"/>
      <c r="F23" s="275"/>
      <c r="G23" s="276"/>
      <c r="H23" s="274"/>
      <c r="I23" s="274"/>
      <c r="J23" s="274"/>
      <c r="K23" s="271"/>
      <c r="L23" s="271"/>
      <c r="M23" s="271"/>
      <c r="N23" s="260"/>
    </row>
    <row r="24" spans="1:14" ht="15.75" x14ac:dyDescent="0.25">
      <c r="A24" s="282">
        <v>1610</v>
      </c>
      <c r="B24" s="283" t="s">
        <v>2380</v>
      </c>
      <c r="C24" s="283" t="s">
        <v>2381</v>
      </c>
      <c r="D24" s="268">
        <f>SUM(F24:J24)</f>
        <v>20000</v>
      </c>
      <c r="E24" s="268">
        <f>D24-ROUND(D24/1.15,0)</f>
        <v>2609</v>
      </c>
      <c r="F24" s="269">
        <v>20000</v>
      </c>
      <c r="G24" s="270"/>
      <c r="H24" s="268"/>
      <c r="I24" s="268"/>
      <c r="J24" s="268"/>
      <c r="K24" s="271"/>
      <c r="L24" s="271"/>
      <c r="M24" s="271"/>
      <c r="N24" s="260"/>
    </row>
    <row r="25" spans="1:14" ht="15.75" x14ac:dyDescent="0.25">
      <c r="A25" s="260">
        <v>1660</v>
      </c>
      <c r="B25" s="277" t="s">
        <v>2382</v>
      </c>
      <c r="C25" s="277" t="s">
        <v>2383</v>
      </c>
      <c r="D25" s="268">
        <f>SUM(F25:J25)</f>
        <v>365000</v>
      </c>
      <c r="E25" s="268">
        <f>D25-ROUND(D25/1.15,0)</f>
        <v>47609</v>
      </c>
      <c r="F25" s="269">
        <v>70000</v>
      </c>
      <c r="G25" s="270">
        <v>70000</v>
      </c>
      <c r="H25" s="268">
        <v>75000</v>
      </c>
      <c r="I25" s="268">
        <v>75000</v>
      </c>
      <c r="J25" s="268">
        <v>75000</v>
      </c>
      <c r="K25" s="271"/>
      <c r="L25" s="271">
        <v>70000</v>
      </c>
      <c r="M25" s="271"/>
      <c r="N25" s="260" t="s">
        <v>2101</v>
      </c>
    </row>
    <row r="26" spans="1:14" ht="15.75" x14ac:dyDescent="0.25">
      <c r="A26" s="260"/>
      <c r="B26" s="277"/>
      <c r="C26" s="277" t="s">
        <v>2384</v>
      </c>
      <c r="D26" s="268">
        <f>SUM(F26:J26)</f>
        <v>10000</v>
      </c>
      <c r="E26" s="268">
        <f>D26-ROUND(D26/1.15,0)</f>
        <v>1304</v>
      </c>
      <c r="F26" s="269">
        <v>10000</v>
      </c>
      <c r="G26" s="270"/>
      <c r="H26" s="268"/>
      <c r="I26" s="268"/>
      <c r="J26" s="268"/>
      <c r="K26" s="271"/>
      <c r="L26" s="271">
        <v>5000</v>
      </c>
      <c r="M26" s="271"/>
      <c r="N26" s="260" t="s">
        <v>2101</v>
      </c>
    </row>
    <row r="27" spans="1:14" ht="15.75" x14ac:dyDescent="0.25">
      <c r="A27" s="260">
        <v>1660</v>
      </c>
      <c r="B27" s="277" t="s">
        <v>2385</v>
      </c>
      <c r="C27" s="277" t="s">
        <v>2386</v>
      </c>
      <c r="D27" s="268">
        <f>SUM(F27:J27)</f>
        <v>300000</v>
      </c>
      <c r="E27" s="268">
        <f>D27-ROUND(D27/1.15,0)</f>
        <v>39130</v>
      </c>
      <c r="F27" s="269"/>
      <c r="G27" s="270">
        <v>100000</v>
      </c>
      <c r="H27" s="268">
        <v>100000</v>
      </c>
      <c r="I27" s="268">
        <v>100000</v>
      </c>
      <c r="J27" s="268"/>
      <c r="K27" s="271"/>
      <c r="L27" s="271"/>
      <c r="M27" s="271"/>
      <c r="N27" s="260" t="s">
        <v>2101</v>
      </c>
    </row>
    <row r="28" spans="1:14" ht="15.75" x14ac:dyDescent="0.25">
      <c r="A28" s="272"/>
      <c r="B28" s="273" t="s">
        <v>2387</v>
      </c>
      <c r="C28" s="273"/>
      <c r="D28" s="274"/>
      <c r="E28" s="274"/>
      <c r="F28" s="275"/>
      <c r="G28" s="276"/>
      <c r="H28" s="274"/>
      <c r="I28" s="274"/>
      <c r="J28" s="274"/>
      <c r="K28" s="271"/>
      <c r="L28" s="271"/>
      <c r="M28" s="271"/>
      <c r="N28" s="260"/>
    </row>
    <row r="29" spans="1:14" ht="15.75" x14ac:dyDescent="0.25">
      <c r="A29" s="282">
        <v>1685</v>
      </c>
      <c r="B29" s="260"/>
      <c r="C29" s="283" t="s">
        <v>2388</v>
      </c>
      <c r="D29" s="268"/>
      <c r="E29" s="268"/>
      <c r="F29" s="269" t="s">
        <v>2360</v>
      </c>
      <c r="G29" s="278" t="s">
        <v>2360</v>
      </c>
      <c r="H29" s="278" t="s">
        <v>2360</v>
      </c>
      <c r="I29" s="278" t="s">
        <v>2360</v>
      </c>
      <c r="J29" s="278" t="s">
        <v>2360</v>
      </c>
      <c r="K29" s="271"/>
      <c r="L29" s="271" t="s">
        <v>2389</v>
      </c>
      <c r="M29" s="271" t="s">
        <v>2365</v>
      </c>
      <c r="N29" s="260"/>
    </row>
    <row r="30" spans="1:14" ht="15.75" x14ac:dyDescent="0.25">
      <c r="A30" s="282">
        <v>1685</v>
      </c>
      <c r="B30" s="260"/>
      <c r="C30" s="283" t="s">
        <v>2390</v>
      </c>
      <c r="D30" s="268"/>
      <c r="E30" s="268"/>
      <c r="F30" s="269" t="s">
        <v>2360</v>
      </c>
      <c r="G30" s="278" t="s">
        <v>2360</v>
      </c>
      <c r="H30" s="278" t="s">
        <v>2360</v>
      </c>
      <c r="I30" s="278" t="s">
        <v>2360</v>
      </c>
      <c r="J30" s="278" t="s">
        <v>2360</v>
      </c>
      <c r="K30" s="271"/>
      <c r="L30" s="271" t="s">
        <v>2389</v>
      </c>
      <c r="M30" s="271" t="s">
        <v>2365</v>
      </c>
      <c r="N30" s="260"/>
    </row>
    <row r="31" spans="1:14" ht="15.75" x14ac:dyDescent="0.25">
      <c r="A31" s="282" t="s">
        <v>2391</v>
      </c>
      <c r="B31" s="283" t="s">
        <v>2392</v>
      </c>
      <c r="C31" s="267" t="s">
        <v>2393</v>
      </c>
      <c r="D31" s="268">
        <f t="shared" ref="D31:D36" si="2">SUM(F31:J31)</f>
        <v>5000</v>
      </c>
      <c r="E31" s="268">
        <f t="shared" ref="E31:E36" si="3">D31-ROUND(D31/1.15,0)</f>
        <v>652</v>
      </c>
      <c r="F31" s="269">
        <v>5000</v>
      </c>
      <c r="G31" s="270"/>
      <c r="H31" s="268"/>
      <c r="I31" s="268"/>
      <c r="J31" s="268"/>
      <c r="K31" s="271"/>
      <c r="L31" s="271"/>
      <c r="M31" s="271"/>
      <c r="N31" s="260"/>
    </row>
    <row r="32" spans="1:14" ht="15.75" x14ac:dyDescent="0.25">
      <c r="A32" s="282" t="s">
        <v>2391</v>
      </c>
      <c r="B32" s="283" t="s">
        <v>2394</v>
      </c>
      <c r="C32" s="267" t="s">
        <v>2395</v>
      </c>
      <c r="D32" s="268">
        <f t="shared" si="2"/>
        <v>15000</v>
      </c>
      <c r="E32" s="268">
        <f t="shared" si="3"/>
        <v>1957</v>
      </c>
      <c r="F32" s="269">
        <v>10000</v>
      </c>
      <c r="G32" s="270">
        <v>5000</v>
      </c>
      <c r="H32" s="268"/>
      <c r="I32" s="268"/>
      <c r="J32" s="268"/>
      <c r="K32" s="271"/>
      <c r="L32" s="271"/>
      <c r="M32" s="271"/>
      <c r="N32" s="260"/>
    </row>
    <row r="33" spans="1:14" ht="15.75" x14ac:dyDescent="0.25">
      <c r="A33" s="282">
        <v>1650</v>
      </c>
      <c r="B33" s="283" t="s">
        <v>2396</v>
      </c>
      <c r="C33" s="267" t="s">
        <v>2397</v>
      </c>
      <c r="D33" s="268">
        <f t="shared" si="2"/>
        <v>15000</v>
      </c>
      <c r="E33" s="268">
        <f t="shared" si="3"/>
        <v>1957</v>
      </c>
      <c r="F33" s="269">
        <v>3000</v>
      </c>
      <c r="G33" s="270">
        <v>3000</v>
      </c>
      <c r="H33" s="268">
        <v>3000</v>
      </c>
      <c r="I33" s="268">
        <v>3000</v>
      </c>
      <c r="J33" s="268">
        <v>3000</v>
      </c>
      <c r="K33" s="271"/>
      <c r="L33" s="271"/>
      <c r="M33" s="271"/>
      <c r="N33" s="260"/>
    </row>
    <row r="34" spans="1:14" ht="15.75" x14ac:dyDescent="0.25">
      <c r="A34" s="260" t="s">
        <v>2391</v>
      </c>
      <c r="B34" s="277" t="s">
        <v>2398</v>
      </c>
      <c r="C34" s="277" t="s">
        <v>2399</v>
      </c>
      <c r="D34" s="268">
        <f t="shared" si="2"/>
        <v>15000</v>
      </c>
      <c r="E34" s="268">
        <f t="shared" si="3"/>
        <v>1957</v>
      </c>
      <c r="F34" s="269">
        <v>3000</v>
      </c>
      <c r="G34" s="270">
        <v>3000</v>
      </c>
      <c r="H34" s="268">
        <v>3000</v>
      </c>
      <c r="I34" s="268">
        <v>3000</v>
      </c>
      <c r="J34" s="268">
        <v>3000</v>
      </c>
      <c r="K34" s="271"/>
      <c r="L34" s="271"/>
      <c r="M34" s="271"/>
      <c r="N34" s="260"/>
    </row>
    <row r="35" spans="1:14" ht="15.75" x14ac:dyDescent="0.25">
      <c r="A35" s="260"/>
      <c r="B35" s="277" t="s">
        <v>2400</v>
      </c>
      <c r="C35" s="277" t="s">
        <v>2401</v>
      </c>
      <c r="D35" s="284">
        <f t="shared" si="2"/>
        <v>15000</v>
      </c>
      <c r="E35" s="268">
        <f t="shared" si="3"/>
        <v>1957</v>
      </c>
      <c r="F35" s="269">
        <v>15000</v>
      </c>
      <c r="G35" s="270"/>
      <c r="H35" s="268"/>
      <c r="I35" s="268"/>
      <c r="J35" s="268"/>
      <c r="K35" s="271"/>
      <c r="L35" s="271"/>
      <c r="M35" s="271"/>
      <c r="N35" s="260"/>
    </row>
    <row r="36" spans="1:14" ht="15.75" x14ac:dyDescent="0.25">
      <c r="A36" s="260"/>
      <c r="B36" s="277" t="s">
        <v>2402</v>
      </c>
      <c r="C36" s="277" t="s">
        <v>2403</v>
      </c>
      <c r="D36" s="268">
        <f t="shared" si="2"/>
        <v>30000</v>
      </c>
      <c r="E36" s="268">
        <f t="shared" si="3"/>
        <v>3913</v>
      </c>
      <c r="F36" s="269">
        <v>30000</v>
      </c>
      <c r="G36" s="270"/>
      <c r="H36" s="268"/>
      <c r="I36" s="268"/>
      <c r="J36" s="268"/>
      <c r="K36" s="271"/>
      <c r="L36" s="271">
        <v>30000</v>
      </c>
      <c r="M36" s="271"/>
      <c r="N36" s="260"/>
    </row>
    <row r="37" spans="1:14" ht="15.75" x14ac:dyDescent="0.25">
      <c r="A37" s="260"/>
      <c r="B37" s="277" t="s">
        <v>2402</v>
      </c>
      <c r="C37" s="277" t="s">
        <v>2404</v>
      </c>
      <c r="D37" s="268"/>
      <c r="E37" s="268"/>
      <c r="F37" s="269" t="s">
        <v>2360</v>
      </c>
      <c r="G37" s="278" t="s">
        <v>2360</v>
      </c>
      <c r="H37" s="278" t="s">
        <v>2360</v>
      </c>
      <c r="I37" s="278" t="s">
        <v>2360</v>
      </c>
      <c r="J37" s="278" t="s">
        <v>2360</v>
      </c>
      <c r="K37" s="271"/>
      <c r="L37" s="271"/>
      <c r="M37" s="271"/>
      <c r="N37" s="260"/>
    </row>
    <row r="38" spans="1:14" ht="15.75" x14ac:dyDescent="0.25">
      <c r="A38" s="260">
        <v>1600</v>
      </c>
      <c r="B38" s="277" t="s">
        <v>2405</v>
      </c>
      <c r="C38" s="277" t="s">
        <v>2406</v>
      </c>
      <c r="D38" s="268"/>
      <c r="E38" s="268"/>
      <c r="F38" s="269" t="s">
        <v>2360</v>
      </c>
      <c r="G38" s="278" t="s">
        <v>2360</v>
      </c>
      <c r="H38" s="278" t="s">
        <v>2360</v>
      </c>
      <c r="I38" s="278" t="s">
        <v>2360</v>
      </c>
      <c r="J38" s="278" t="s">
        <v>2360</v>
      </c>
      <c r="K38" s="271"/>
      <c r="L38" s="271"/>
      <c r="M38" s="271"/>
      <c r="N38" s="260"/>
    </row>
    <row r="39" spans="1:14" ht="15.75" x14ac:dyDescent="0.25">
      <c r="A39" s="260"/>
      <c r="B39" s="277" t="s">
        <v>2407</v>
      </c>
      <c r="C39" s="277" t="s">
        <v>2408</v>
      </c>
      <c r="D39" s="268"/>
      <c r="E39" s="268"/>
      <c r="F39" s="269" t="s">
        <v>2360</v>
      </c>
      <c r="G39" s="269" t="s">
        <v>2360</v>
      </c>
      <c r="H39" s="269" t="s">
        <v>2360</v>
      </c>
      <c r="I39" s="269" t="s">
        <v>2360</v>
      </c>
      <c r="J39" s="269" t="s">
        <v>2360</v>
      </c>
      <c r="K39" s="271"/>
      <c r="L39" s="271"/>
      <c r="M39" s="271"/>
      <c r="N39" s="260"/>
    </row>
    <row r="40" spans="1:14" ht="15.75" x14ac:dyDescent="0.25">
      <c r="A40" s="260"/>
      <c r="B40" s="277" t="s">
        <v>2409</v>
      </c>
      <c r="C40" s="277" t="s">
        <v>2410</v>
      </c>
      <c r="D40" s="268">
        <f>SUM(F40:J40)</f>
        <v>10000</v>
      </c>
      <c r="E40" s="268">
        <f>D40-ROUND(D40/1.15,0)</f>
        <v>1304</v>
      </c>
      <c r="F40" s="269">
        <v>10000</v>
      </c>
      <c r="G40" s="278"/>
      <c r="H40" s="278"/>
      <c r="I40" s="278"/>
      <c r="J40" s="278"/>
      <c r="K40" s="271"/>
      <c r="L40" s="271"/>
      <c r="M40" s="271"/>
      <c r="N40" s="260" t="s">
        <v>2411</v>
      </c>
    </row>
    <row r="41" spans="1:14" ht="15.75" x14ac:dyDescent="0.25">
      <c r="A41" s="260"/>
      <c r="B41" s="277" t="s">
        <v>2412</v>
      </c>
      <c r="C41" s="277" t="s">
        <v>2413</v>
      </c>
      <c r="D41" s="268"/>
      <c r="E41" s="268"/>
      <c r="F41" s="269" t="s">
        <v>2360</v>
      </c>
      <c r="G41" s="269" t="s">
        <v>2360</v>
      </c>
      <c r="H41" s="269" t="s">
        <v>2360</v>
      </c>
      <c r="I41" s="269" t="s">
        <v>2360</v>
      </c>
      <c r="J41" s="269" t="s">
        <v>2360</v>
      </c>
      <c r="K41" s="271"/>
      <c r="L41" s="271"/>
      <c r="M41" s="271"/>
      <c r="N41" s="260"/>
    </row>
    <row r="42" spans="1:14" ht="15.75" x14ac:dyDescent="0.25">
      <c r="A42" s="272"/>
      <c r="B42" s="273" t="s">
        <v>2414</v>
      </c>
      <c r="C42" s="273"/>
      <c r="D42" s="274"/>
      <c r="E42" s="274"/>
      <c r="F42" s="275"/>
      <c r="G42" s="276"/>
      <c r="H42" s="274"/>
      <c r="I42" s="274"/>
      <c r="J42" s="274"/>
      <c r="K42" s="274"/>
      <c r="L42" s="271"/>
      <c r="M42" s="271"/>
      <c r="N42" s="260"/>
    </row>
    <row r="43" spans="1:14" ht="15.75" x14ac:dyDescent="0.25">
      <c r="A43" s="260">
        <v>1662</v>
      </c>
      <c r="B43" s="277" t="s">
        <v>2415</v>
      </c>
      <c r="C43" s="277" t="s">
        <v>2416</v>
      </c>
      <c r="D43" s="268">
        <f>SUM(F43:J43)</f>
        <v>12000</v>
      </c>
      <c r="E43" s="268">
        <f>D43-ROUND(D43/1.15,0)</f>
        <v>1565</v>
      </c>
      <c r="F43" s="269"/>
      <c r="G43" s="270"/>
      <c r="H43" s="268"/>
      <c r="I43" s="268"/>
      <c r="J43" s="268">
        <v>12000</v>
      </c>
      <c r="K43" s="271"/>
      <c r="L43" s="271"/>
      <c r="M43" s="271"/>
      <c r="N43" s="260"/>
    </row>
    <row r="44" spans="1:14" ht="15.75" x14ac:dyDescent="0.25">
      <c r="A44" s="260">
        <v>1650</v>
      </c>
      <c r="B44" s="277"/>
      <c r="C44" s="277" t="s">
        <v>2417</v>
      </c>
      <c r="D44" s="284"/>
      <c r="E44" s="268"/>
      <c r="F44" s="269" t="s">
        <v>2360</v>
      </c>
      <c r="G44" s="269" t="s">
        <v>2360</v>
      </c>
      <c r="H44" s="269" t="s">
        <v>2360</v>
      </c>
      <c r="I44" s="269" t="s">
        <v>2360</v>
      </c>
      <c r="J44" s="269" t="s">
        <v>2360</v>
      </c>
      <c r="K44" s="271"/>
      <c r="L44" s="271"/>
      <c r="M44" s="271"/>
      <c r="N44" s="260"/>
    </row>
    <row r="45" spans="1:14" ht="15.75" x14ac:dyDescent="0.25">
      <c r="A45" s="282"/>
      <c r="B45" s="267" t="s">
        <v>2418</v>
      </c>
      <c r="C45" s="267" t="s">
        <v>2419</v>
      </c>
      <c r="D45" s="284">
        <f>SUM(F45:J45)</f>
        <v>3000</v>
      </c>
      <c r="E45" s="268">
        <f>D45-ROUND(D45/1.15,0)</f>
        <v>391</v>
      </c>
      <c r="F45" s="269">
        <v>3000</v>
      </c>
      <c r="G45" s="270"/>
      <c r="H45" s="268"/>
      <c r="I45" s="268"/>
      <c r="J45" s="268"/>
      <c r="K45" s="271"/>
      <c r="L45" s="271"/>
      <c r="M45" s="271"/>
      <c r="N45" s="260"/>
    </row>
    <row r="46" spans="1:14" ht="15.75" x14ac:dyDescent="0.25">
      <c r="A46" s="282">
        <v>1650</v>
      </c>
      <c r="B46" s="277" t="s">
        <v>2420</v>
      </c>
      <c r="C46" s="267" t="s">
        <v>2421</v>
      </c>
      <c r="D46" s="268">
        <f>SUM(F46:J46)</f>
        <v>295000</v>
      </c>
      <c r="E46" s="268">
        <f>D46-ROUND(D46/1.15,0)</f>
        <v>38478</v>
      </c>
      <c r="F46" s="269">
        <v>5000</v>
      </c>
      <c r="G46" s="270">
        <v>125000</v>
      </c>
      <c r="H46" s="268">
        <v>150000</v>
      </c>
      <c r="I46" s="268">
        <v>5000</v>
      </c>
      <c r="J46" s="268">
        <v>10000</v>
      </c>
      <c r="K46" s="271"/>
      <c r="L46" s="271"/>
      <c r="M46" s="271"/>
      <c r="N46" s="260"/>
    </row>
    <row r="47" spans="1:14" ht="15.75" x14ac:dyDescent="0.25">
      <c r="A47" s="282"/>
      <c r="B47" s="277" t="s">
        <v>2422</v>
      </c>
      <c r="C47" s="267"/>
      <c r="D47" s="268"/>
      <c r="E47" s="268"/>
      <c r="F47" s="269" t="s">
        <v>2360</v>
      </c>
      <c r="G47" s="270"/>
      <c r="H47" s="268"/>
      <c r="I47" s="269" t="s">
        <v>2360</v>
      </c>
      <c r="J47" s="269" t="s">
        <v>2360</v>
      </c>
      <c r="K47" s="271"/>
      <c r="L47" s="271"/>
      <c r="M47" s="271"/>
      <c r="N47" s="260"/>
    </row>
    <row r="48" spans="1:14" ht="15.75" x14ac:dyDescent="0.25">
      <c r="A48" s="272"/>
      <c r="B48" s="273" t="s">
        <v>2423</v>
      </c>
      <c r="C48" s="273"/>
      <c r="D48" s="274"/>
      <c r="E48" s="274"/>
      <c r="F48" s="275"/>
      <c r="G48" s="285"/>
      <c r="H48" s="285"/>
      <c r="I48" s="285"/>
      <c r="J48" s="285"/>
      <c r="K48" s="271"/>
      <c r="L48" s="271"/>
      <c r="M48" s="271"/>
      <c r="N48" s="260" t="s">
        <v>2424</v>
      </c>
    </row>
    <row r="49" spans="1:19" ht="15.75" x14ac:dyDescent="0.25">
      <c r="A49" s="282">
        <v>1668</v>
      </c>
      <c r="B49" s="267" t="s">
        <v>2425</v>
      </c>
      <c r="C49" s="267" t="s">
        <v>2426</v>
      </c>
      <c r="D49" s="268"/>
      <c r="E49" s="268"/>
      <c r="F49" s="269" t="s">
        <v>2360</v>
      </c>
      <c r="G49" s="278" t="s">
        <v>2360</v>
      </c>
      <c r="H49" s="278" t="s">
        <v>2360</v>
      </c>
      <c r="I49" s="278" t="s">
        <v>2360</v>
      </c>
      <c r="J49" s="278" t="s">
        <v>2360</v>
      </c>
      <c r="K49" s="271"/>
      <c r="L49" s="271"/>
      <c r="M49" s="271"/>
      <c r="N49" s="260"/>
    </row>
    <row r="50" spans="1:19" ht="15.75" x14ac:dyDescent="0.25">
      <c r="A50" s="282">
        <v>1622</v>
      </c>
      <c r="B50" s="267" t="s">
        <v>2427</v>
      </c>
      <c r="C50" s="267" t="s">
        <v>2428</v>
      </c>
      <c r="D50" s="268">
        <f>SUM(F50:J50)</f>
        <v>1000</v>
      </c>
      <c r="E50" s="268">
        <f>D50-ROUND(D50/1.15,0)</f>
        <v>130</v>
      </c>
      <c r="F50" s="269">
        <v>500</v>
      </c>
      <c r="G50" s="270"/>
      <c r="H50" s="268"/>
      <c r="I50" s="268">
        <v>500</v>
      </c>
      <c r="J50" s="268"/>
      <c r="K50" s="271"/>
      <c r="L50" s="271"/>
      <c r="M50" s="271"/>
      <c r="N50" s="260"/>
    </row>
    <row r="51" spans="1:19" ht="16.5" thickBot="1" x14ac:dyDescent="0.3">
      <c r="A51" s="286"/>
      <c r="B51" s="287"/>
      <c r="C51" s="287"/>
      <c r="D51" s="268"/>
      <c r="E51" s="288"/>
      <c r="F51" s="289"/>
      <c r="G51" s="290"/>
      <c r="H51" s="288"/>
      <c r="I51" s="288"/>
      <c r="J51" s="288"/>
      <c r="K51" s="291"/>
      <c r="L51" s="291"/>
      <c r="M51" s="291"/>
      <c r="N51" s="292"/>
    </row>
    <row r="52" spans="1:19" ht="16.5" thickBot="1" x14ac:dyDescent="0.3">
      <c r="A52" s="293" t="s">
        <v>2429</v>
      </c>
      <c r="B52" s="294"/>
      <c r="C52" s="295"/>
      <c r="D52" s="296">
        <f t="shared" ref="D52:L52" si="4">SUM(D9:D51)</f>
        <v>1868700</v>
      </c>
      <c r="E52" s="296">
        <f t="shared" si="4"/>
        <v>243744</v>
      </c>
      <c r="F52" s="297">
        <f t="shared" si="4"/>
        <v>203500</v>
      </c>
      <c r="G52" s="296">
        <f t="shared" si="4"/>
        <v>1003300</v>
      </c>
      <c r="H52" s="296">
        <f t="shared" si="4"/>
        <v>344800</v>
      </c>
      <c r="I52" s="296">
        <f t="shared" si="4"/>
        <v>200300</v>
      </c>
      <c r="J52" s="296">
        <f t="shared" si="4"/>
        <v>116800</v>
      </c>
      <c r="K52" s="296">
        <f t="shared" si="4"/>
        <v>0</v>
      </c>
      <c r="L52" s="296">
        <f t="shared" si="4"/>
        <v>108500</v>
      </c>
      <c r="M52" s="296"/>
      <c r="N52" s="296">
        <f>F52-L52</f>
        <v>95000</v>
      </c>
    </row>
    <row r="53" spans="1:19" ht="15.75" x14ac:dyDescent="0.25">
      <c r="A53" s="298"/>
      <c r="B53" s="299"/>
      <c r="C53" s="299"/>
      <c r="D53" s="268"/>
      <c r="E53" s="300"/>
      <c r="F53" s="301"/>
      <c r="G53" s="302"/>
      <c r="H53" s="300"/>
      <c r="I53" s="300"/>
      <c r="J53" s="300"/>
      <c r="K53" s="303"/>
      <c r="L53" s="303"/>
      <c r="M53" s="303"/>
      <c r="N53" s="304"/>
    </row>
    <row r="54" spans="1:19" ht="21" x14ac:dyDescent="0.35">
      <c r="A54" s="305" t="s">
        <v>2293</v>
      </c>
      <c r="B54" s="299"/>
      <c r="C54" s="299"/>
      <c r="D54" s="268"/>
      <c r="E54" s="300"/>
      <c r="F54" s="301"/>
      <c r="G54" s="302"/>
      <c r="H54" s="300"/>
      <c r="I54" s="300"/>
      <c r="J54" s="300"/>
      <c r="K54" s="303"/>
      <c r="L54" s="303"/>
      <c r="M54" s="303"/>
      <c r="N54" s="304"/>
    </row>
    <row r="55" spans="1:19" ht="15.75" x14ac:dyDescent="0.25">
      <c r="A55" s="272"/>
      <c r="B55" s="273" t="s">
        <v>2430</v>
      </c>
      <c r="C55" s="273"/>
      <c r="D55" s="274"/>
      <c r="E55" s="274"/>
      <c r="F55" s="275"/>
      <c r="G55" s="276"/>
      <c r="H55" s="274"/>
      <c r="I55" s="274"/>
      <c r="J55" s="274"/>
      <c r="K55" s="271"/>
      <c r="L55" s="271"/>
      <c r="M55" s="271"/>
      <c r="N55" s="260"/>
    </row>
    <row r="56" spans="1:19" ht="15.75" x14ac:dyDescent="0.25">
      <c r="A56" s="282">
        <v>1605</v>
      </c>
      <c r="B56" s="267" t="s">
        <v>12</v>
      </c>
      <c r="C56" s="267" t="s">
        <v>2431</v>
      </c>
      <c r="D56" s="268">
        <f t="shared" ref="D56:D62" si="5">SUM(F56:J56)</f>
        <v>35000</v>
      </c>
      <c r="E56" s="268">
        <f t="shared" ref="E56:E62" si="6">D56-ROUND(D56/1.15,0)</f>
        <v>4565</v>
      </c>
      <c r="F56" s="306"/>
      <c r="G56" s="270">
        <v>30000</v>
      </c>
      <c r="H56" s="268"/>
      <c r="I56" s="268"/>
      <c r="J56" s="268">
        <v>5000</v>
      </c>
      <c r="K56" s="271"/>
      <c r="L56" s="271"/>
      <c r="M56" s="271"/>
      <c r="N56" s="260" t="s">
        <v>2432</v>
      </c>
      <c r="O56">
        <f>50*150</f>
        <v>7500</v>
      </c>
      <c r="P56">
        <f>500*50</f>
        <v>25000</v>
      </c>
      <c r="Q56">
        <f>32500</f>
        <v>32500</v>
      </c>
      <c r="R56">
        <f>Q56/5</f>
        <v>6500</v>
      </c>
      <c r="S56" t="s">
        <v>2433</v>
      </c>
    </row>
    <row r="57" spans="1:19" ht="15.75" x14ac:dyDescent="0.25">
      <c r="A57" s="260">
        <v>1605</v>
      </c>
      <c r="B57" s="277" t="s">
        <v>12</v>
      </c>
      <c r="C57" s="277" t="s">
        <v>2434</v>
      </c>
      <c r="D57" s="268">
        <f t="shared" si="5"/>
        <v>2500</v>
      </c>
      <c r="E57" s="268">
        <f t="shared" si="6"/>
        <v>326</v>
      </c>
      <c r="F57" s="269">
        <v>2500</v>
      </c>
      <c r="G57" s="270"/>
      <c r="H57" s="268"/>
      <c r="I57" s="268"/>
      <c r="J57" s="268"/>
      <c r="K57" s="271"/>
      <c r="L57" s="271"/>
      <c r="M57" s="271"/>
      <c r="N57" s="260"/>
    </row>
    <row r="58" spans="1:19" ht="15.75" x14ac:dyDescent="0.25">
      <c r="A58" s="260">
        <v>1605</v>
      </c>
      <c r="B58" s="277" t="s">
        <v>12</v>
      </c>
      <c r="C58" s="277" t="s">
        <v>2435</v>
      </c>
      <c r="D58" s="268">
        <f t="shared" si="5"/>
        <v>1275000</v>
      </c>
      <c r="E58" s="268">
        <f t="shared" si="6"/>
        <v>166304</v>
      </c>
      <c r="F58" s="269"/>
      <c r="G58" s="270"/>
      <c r="H58" s="268"/>
      <c r="I58" s="268"/>
      <c r="J58" s="268">
        <v>1275000</v>
      </c>
      <c r="K58" s="271"/>
      <c r="L58" s="271"/>
      <c r="M58" s="271"/>
      <c r="N58" s="260"/>
    </row>
    <row r="59" spans="1:19" ht="15.75" x14ac:dyDescent="0.25">
      <c r="A59" s="260">
        <v>1605</v>
      </c>
      <c r="B59" s="277" t="s">
        <v>12</v>
      </c>
      <c r="C59" s="307" t="s">
        <v>2436</v>
      </c>
      <c r="D59" s="268">
        <f t="shared" si="5"/>
        <v>10000</v>
      </c>
      <c r="E59" s="268">
        <f t="shared" si="6"/>
        <v>1304</v>
      </c>
      <c r="F59" s="289">
        <v>10000</v>
      </c>
      <c r="G59" s="290"/>
      <c r="H59" s="288"/>
      <c r="I59" s="288"/>
      <c r="J59" s="288"/>
      <c r="K59" s="308"/>
      <c r="L59" s="308"/>
      <c r="M59" s="308"/>
      <c r="N59" s="309"/>
    </row>
    <row r="60" spans="1:19" ht="15.75" x14ac:dyDescent="0.25">
      <c r="A60" s="260"/>
      <c r="B60" s="277" t="s">
        <v>12</v>
      </c>
      <c r="C60" s="307" t="s">
        <v>2437</v>
      </c>
      <c r="D60" s="268">
        <f t="shared" si="5"/>
        <v>12000</v>
      </c>
      <c r="E60" s="268">
        <f t="shared" si="6"/>
        <v>1565</v>
      </c>
      <c r="F60" s="289">
        <v>4000</v>
      </c>
      <c r="G60" s="290"/>
      <c r="H60" s="288">
        <v>4000</v>
      </c>
      <c r="I60" s="288"/>
      <c r="J60" s="288">
        <v>4000</v>
      </c>
      <c r="K60" s="308"/>
      <c r="L60" s="308"/>
      <c r="M60" s="308"/>
      <c r="N60" s="309"/>
    </row>
    <row r="61" spans="1:19" ht="15.75" x14ac:dyDescent="0.25">
      <c r="A61" s="260">
        <v>1605</v>
      </c>
      <c r="B61" s="277" t="s">
        <v>12</v>
      </c>
      <c r="C61" s="307" t="s">
        <v>2438</v>
      </c>
      <c r="D61" s="268">
        <f t="shared" si="5"/>
        <v>25000</v>
      </c>
      <c r="E61" s="268">
        <f t="shared" si="6"/>
        <v>3261</v>
      </c>
      <c r="F61" s="269"/>
      <c r="G61" s="269">
        <v>25000</v>
      </c>
      <c r="H61" s="278"/>
      <c r="I61" s="278"/>
      <c r="J61" s="278"/>
      <c r="K61" s="308"/>
      <c r="L61" s="308"/>
      <c r="M61" s="308"/>
      <c r="N61" s="309"/>
    </row>
    <row r="62" spans="1:19" ht="16.5" thickBot="1" x14ac:dyDescent="0.3">
      <c r="A62" s="260"/>
      <c r="B62" s="277" t="s">
        <v>12</v>
      </c>
      <c r="C62" s="307" t="s">
        <v>2439</v>
      </c>
      <c r="D62" s="268">
        <f t="shared" si="5"/>
        <v>2500</v>
      </c>
      <c r="E62" s="268">
        <f t="shared" si="6"/>
        <v>326</v>
      </c>
      <c r="F62" s="269">
        <v>2500</v>
      </c>
      <c r="G62" s="278"/>
      <c r="H62" s="278"/>
      <c r="I62" s="278"/>
      <c r="J62" s="278"/>
      <c r="K62" s="308"/>
      <c r="L62" s="308"/>
      <c r="M62" s="308"/>
      <c r="N62" s="309"/>
    </row>
    <row r="63" spans="1:19" ht="16.5" thickBot="1" x14ac:dyDescent="0.3">
      <c r="A63" s="310" t="s">
        <v>2440</v>
      </c>
      <c r="B63" s="311"/>
      <c r="C63" s="311"/>
      <c r="D63" s="312">
        <f t="shared" ref="D63:L63" si="7">SUM(D55:D62)</f>
        <v>1362000</v>
      </c>
      <c r="E63" s="312">
        <f t="shared" si="7"/>
        <v>177651</v>
      </c>
      <c r="F63" s="313">
        <f t="shared" si="7"/>
        <v>19000</v>
      </c>
      <c r="G63" s="312">
        <f t="shared" si="7"/>
        <v>55000</v>
      </c>
      <c r="H63" s="312">
        <f t="shared" si="7"/>
        <v>4000</v>
      </c>
      <c r="I63" s="312">
        <f t="shared" si="7"/>
        <v>0</v>
      </c>
      <c r="J63" s="312">
        <f t="shared" si="7"/>
        <v>1284000</v>
      </c>
      <c r="K63" s="312">
        <f t="shared" si="7"/>
        <v>0</v>
      </c>
      <c r="L63" s="312">
        <f t="shared" si="7"/>
        <v>0</v>
      </c>
      <c r="M63" s="312"/>
      <c r="N63" s="312">
        <f>F63-L63</f>
        <v>19000</v>
      </c>
    </row>
    <row r="64" spans="1:19" ht="16.5" thickBot="1" x14ac:dyDescent="0.3">
      <c r="A64" s="314"/>
      <c r="B64" s="315"/>
      <c r="C64" s="315"/>
      <c r="D64" s="316"/>
      <c r="E64" s="316"/>
      <c r="F64" s="317"/>
      <c r="G64" s="318"/>
      <c r="H64" s="316"/>
      <c r="I64" s="316"/>
      <c r="J64" s="316"/>
      <c r="K64" s="319"/>
      <c r="L64" s="319"/>
      <c r="M64" s="319"/>
      <c r="N64" s="320"/>
    </row>
    <row r="65" spans="1:14" s="154" customFormat="1" ht="16.5" thickBot="1" x14ac:dyDescent="0.3">
      <c r="A65" s="310" t="s">
        <v>2441</v>
      </c>
      <c r="B65" s="311"/>
      <c r="C65" s="311"/>
      <c r="D65" s="312">
        <f t="shared" ref="D65:L65" si="8">D52+D63</f>
        <v>3230700</v>
      </c>
      <c r="E65" s="312">
        <f t="shared" si="8"/>
        <v>421395</v>
      </c>
      <c r="F65" s="313">
        <f t="shared" si="8"/>
        <v>222500</v>
      </c>
      <c r="G65" s="312">
        <f t="shared" si="8"/>
        <v>1058300</v>
      </c>
      <c r="H65" s="312">
        <f t="shared" si="8"/>
        <v>348800</v>
      </c>
      <c r="I65" s="312">
        <f t="shared" si="8"/>
        <v>200300</v>
      </c>
      <c r="J65" s="312">
        <f t="shared" si="8"/>
        <v>1400800</v>
      </c>
      <c r="K65" s="312">
        <f t="shared" si="8"/>
        <v>0</v>
      </c>
      <c r="L65" s="312">
        <f t="shared" si="8"/>
        <v>108500</v>
      </c>
      <c r="M65" s="312"/>
      <c r="N65" s="310"/>
    </row>
    <row r="66" spans="1:14" ht="21" x14ac:dyDescent="0.35">
      <c r="A66" s="321"/>
      <c r="B66" s="322"/>
      <c r="C66" s="322"/>
      <c r="D66" s="268"/>
      <c r="E66" s="300"/>
      <c r="F66" s="301"/>
      <c r="G66" s="302"/>
      <c r="H66" s="300"/>
      <c r="I66" s="300"/>
      <c r="J66" s="300"/>
      <c r="K66" s="303"/>
      <c r="L66" s="303"/>
      <c r="M66" s="303"/>
      <c r="N66" s="304"/>
    </row>
    <row r="67" spans="1:14" ht="21" x14ac:dyDescent="0.35">
      <c r="A67" s="250" t="s">
        <v>2442</v>
      </c>
      <c r="B67" s="259"/>
      <c r="C67" s="277"/>
      <c r="D67" s="269"/>
      <c r="E67" s="269"/>
      <c r="F67" s="269"/>
      <c r="G67" s="253"/>
      <c r="H67" s="269"/>
      <c r="I67" s="269"/>
      <c r="J67" s="269"/>
      <c r="K67" s="271"/>
      <c r="L67" s="271"/>
      <c r="M67" s="271"/>
      <c r="N67" s="260"/>
    </row>
    <row r="68" spans="1:14" ht="15.75" x14ac:dyDescent="0.25">
      <c r="A68" s="260"/>
      <c r="B68" s="277" t="s">
        <v>2443</v>
      </c>
      <c r="C68" s="261" t="s">
        <v>2444</v>
      </c>
      <c r="D68" s="269">
        <f t="shared" ref="D68:D75" si="9">SUM(F68:J68)</f>
        <v>100000</v>
      </c>
      <c r="E68" s="269">
        <f t="shared" ref="E68:E76" si="10">D68-ROUND(D68/1.15,0)</f>
        <v>13043</v>
      </c>
      <c r="F68" s="269"/>
      <c r="G68" s="269"/>
      <c r="H68" s="269">
        <v>100000</v>
      </c>
      <c r="I68" s="269"/>
      <c r="J68" s="269"/>
      <c r="K68" s="271"/>
      <c r="L68" s="271"/>
      <c r="M68" s="271"/>
      <c r="N68" s="260" t="s">
        <v>2101</v>
      </c>
    </row>
    <row r="69" spans="1:14" ht="15.75" x14ac:dyDescent="0.25">
      <c r="A69" s="260"/>
      <c r="B69" s="277" t="s">
        <v>2445</v>
      </c>
      <c r="C69" s="261" t="s">
        <v>2446</v>
      </c>
      <c r="D69" s="269">
        <f t="shared" si="9"/>
        <v>25000</v>
      </c>
      <c r="E69" s="269">
        <f t="shared" si="10"/>
        <v>3261</v>
      </c>
      <c r="F69" s="269">
        <v>5000</v>
      </c>
      <c r="G69" s="269">
        <v>5000</v>
      </c>
      <c r="H69" s="269">
        <v>5000</v>
      </c>
      <c r="I69" s="269">
        <v>5000</v>
      </c>
      <c r="J69" s="269">
        <v>5000</v>
      </c>
      <c r="K69" s="271"/>
      <c r="L69" s="271"/>
      <c r="M69" s="271"/>
      <c r="N69" s="260"/>
    </row>
    <row r="70" spans="1:14" ht="15.75" x14ac:dyDescent="0.25">
      <c r="A70" s="260"/>
      <c r="B70" s="277" t="s">
        <v>2447</v>
      </c>
      <c r="C70" s="261" t="s">
        <v>2448</v>
      </c>
      <c r="D70" s="269">
        <f t="shared" si="9"/>
        <v>10000</v>
      </c>
      <c r="E70" s="269">
        <f t="shared" si="10"/>
        <v>1304</v>
      </c>
      <c r="F70" s="269"/>
      <c r="G70" s="269"/>
      <c r="H70" s="269"/>
      <c r="I70" s="269">
        <v>10000</v>
      </c>
      <c r="J70" s="269"/>
      <c r="K70" s="271"/>
      <c r="L70" s="271"/>
      <c r="M70" s="271"/>
      <c r="N70" s="260"/>
    </row>
    <row r="71" spans="1:14" ht="15.75" x14ac:dyDescent="0.25">
      <c r="A71" s="260"/>
      <c r="B71" s="277" t="s">
        <v>2449</v>
      </c>
      <c r="C71" s="261" t="s">
        <v>2450</v>
      </c>
      <c r="D71" s="269">
        <f t="shared" si="9"/>
        <v>18000</v>
      </c>
      <c r="E71" s="269">
        <f t="shared" si="10"/>
        <v>2348</v>
      </c>
      <c r="F71" s="269"/>
      <c r="G71" s="269">
        <v>18000</v>
      </c>
      <c r="H71" s="269"/>
      <c r="I71" s="269"/>
      <c r="J71" s="269"/>
      <c r="K71" s="271"/>
      <c r="L71" s="271"/>
      <c r="M71" s="271"/>
      <c r="N71" s="260"/>
    </row>
    <row r="72" spans="1:14" ht="15.75" x14ac:dyDescent="0.25">
      <c r="A72" s="260" t="s">
        <v>2451</v>
      </c>
      <c r="B72" s="277" t="s">
        <v>2452</v>
      </c>
      <c r="C72" s="277" t="s">
        <v>2453</v>
      </c>
      <c r="D72" s="269">
        <f t="shared" si="9"/>
        <v>5000</v>
      </c>
      <c r="E72" s="269">
        <f t="shared" si="10"/>
        <v>652</v>
      </c>
      <c r="F72" s="253">
        <v>5000</v>
      </c>
      <c r="G72" s="269"/>
      <c r="H72" s="269"/>
      <c r="I72" s="269"/>
      <c r="J72" s="269"/>
      <c r="K72" s="271"/>
      <c r="L72" s="271"/>
      <c r="M72" s="271"/>
      <c r="N72" s="260"/>
    </row>
    <row r="73" spans="1:14" ht="15.75" x14ac:dyDescent="0.25">
      <c r="A73" s="260" t="s">
        <v>2451</v>
      </c>
      <c r="B73" s="277" t="s">
        <v>2452</v>
      </c>
      <c r="C73" s="277" t="s">
        <v>2454</v>
      </c>
      <c r="D73" s="269">
        <f t="shared" si="9"/>
        <v>5000</v>
      </c>
      <c r="E73" s="269">
        <f t="shared" si="10"/>
        <v>652</v>
      </c>
      <c r="F73" s="253">
        <v>5000</v>
      </c>
      <c r="G73" s="269"/>
      <c r="H73" s="269"/>
      <c r="I73" s="269"/>
      <c r="J73" s="269"/>
      <c r="K73" s="271"/>
      <c r="L73" s="271"/>
      <c r="M73" s="271"/>
      <c r="N73" s="260" t="s">
        <v>2455</v>
      </c>
    </row>
    <row r="74" spans="1:14" ht="15.75" x14ac:dyDescent="0.25">
      <c r="A74" s="260"/>
      <c r="B74" s="277" t="s">
        <v>2449</v>
      </c>
      <c r="C74" s="261" t="s">
        <v>2456</v>
      </c>
      <c r="D74" s="269">
        <f t="shared" si="9"/>
        <v>90000</v>
      </c>
      <c r="E74" s="269">
        <f t="shared" si="10"/>
        <v>11739</v>
      </c>
      <c r="F74" s="269">
        <v>30000</v>
      </c>
      <c r="G74" s="269"/>
      <c r="H74" s="269">
        <v>30000</v>
      </c>
      <c r="I74" s="269"/>
      <c r="J74" s="269">
        <v>30000</v>
      </c>
      <c r="K74" s="271"/>
      <c r="L74" s="271"/>
      <c r="M74" s="271"/>
      <c r="N74" s="260"/>
    </row>
    <row r="75" spans="1:14" ht="15.75" x14ac:dyDescent="0.25">
      <c r="A75" s="260" t="s">
        <v>2451</v>
      </c>
      <c r="B75" s="277" t="s">
        <v>2452</v>
      </c>
      <c r="C75" s="261" t="s">
        <v>2457</v>
      </c>
      <c r="D75" s="269">
        <f t="shared" si="9"/>
        <v>10000</v>
      </c>
      <c r="E75" s="269">
        <f t="shared" si="10"/>
        <v>1304</v>
      </c>
      <c r="F75" s="253">
        <v>10000</v>
      </c>
      <c r="G75" s="269"/>
      <c r="H75" s="269"/>
      <c r="I75" s="269"/>
      <c r="J75" s="269"/>
      <c r="K75" s="271"/>
      <c r="L75" s="271">
        <v>10000</v>
      </c>
      <c r="M75" s="271"/>
      <c r="N75" s="260" t="s">
        <v>2458</v>
      </c>
    </row>
    <row r="76" spans="1:14" s="154" customFormat="1" ht="15.75" x14ac:dyDescent="0.25">
      <c r="A76" s="255"/>
      <c r="B76" s="323">
        <f>SUM(F76:J76)</f>
        <v>263000</v>
      </c>
      <c r="C76" s="324" t="s">
        <v>2459</v>
      </c>
      <c r="D76" s="253">
        <f>SUM(D68:D75)</f>
        <v>263000</v>
      </c>
      <c r="E76" s="253">
        <f t="shared" si="10"/>
        <v>34304</v>
      </c>
      <c r="F76" s="253">
        <f t="shared" ref="F76:M76" si="11">SUM(F68:F75)</f>
        <v>55000</v>
      </c>
      <c r="G76" s="253">
        <f t="shared" si="11"/>
        <v>23000</v>
      </c>
      <c r="H76" s="253">
        <f t="shared" si="11"/>
        <v>135000</v>
      </c>
      <c r="I76" s="253">
        <f t="shared" si="11"/>
        <v>15000</v>
      </c>
      <c r="J76" s="253">
        <f t="shared" si="11"/>
        <v>35000</v>
      </c>
      <c r="K76" s="253">
        <f t="shared" si="11"/>
        <v>0</v>
      </c>
      <c r="L76" s="253">
        <f t="shared" si="11"/>
        <v>10000</v>
      </c>
      <c r="M76" s="253">
        <f t="shared" si="11"/>
        <v>0</v>
      </c>
      <c r="N76" s="255"/>
    </row>
    <row r="77" spans="1:14" ht="15.75" x14ac:dyDescent="0.25">
      <c r="A77" s="260"/>
      <c r="B77" s="277"/>
      <c r="C77" s="261"/>
      <c r="D77" s="268"/>
      <c r="E77" s="268"/>
      <c r="F77" s="269"/>
      <c r="G77" s="269"/>
      <c r="H77" s="269"/>
      <c r="I77" s="269"/>
      <c r="J77" s="269"/>
      <c r="K77" s="271"/>
      <c r="L77" s="271"/>
      <c r="M77" s="271"/>
      <c r="N77" s="260"/>
    </row>
    <row r="78" spans="1:14" ht="15.75" x14ac:dyDescent="0.25">
      <c r="A78" s="260"/>
      <c r="B78" s="277" t="s">
        <v>2460</v>
      </c>
      <c r="C78" s="261" t="s">
        <v>2461</v>
      </c>
      <c r="D78" s="269">
        <f t="shared" ref="D78:D84" si="12">SUM(F78:J78)</f>
        <v>9000</v>
      </c>
      <c r="E78" s="269">
        <f t="shared" ref="E78:E85" si="13">D78-ROUND(D78/1.15,0)</f>
        <v>1174</v>
      </c>
      <c r="F78" s="253">
        <v>1000</v>
      </c>
      <c r="G78" s="269">
        <v>2000</v>
      </c>
      <c r="H78" s="269">
        <v>2000</v>
      </c>
      <c r="I78" s="269">
        <v>2000</v>
      </c>
      <c r="J78" s="269">
        <v>2000</v>
      </c>
      <c r="K78" s="271"/>
      <c r="L78" s="271"/>
      <c r="M78" s="271"/>
      <c r="N78" s="260"/>
    </row>
    <row r="79" spans="1:14" ht="15.75" x14ac:dyDescent="0.25">
      <c r="A79" s="260"/>
      <c r="B79" s="277" t="s">
        <v>2462</v>
      </c>
      <c r="C79" s="277" t="s">
        <v>2463</v>
      </c>
      <c r="D79" s="269">
        <f t="shared" si="12"/>
        <v>5000</v>
      </c>
      <c r="E79" s="269">
        <f t="shared" si="13"/>
        <v>652</v>
      </c>
      <c r="F79" s="253">
        <v>5000</v>
      </c>
      <c r="G79" s="269"/>
      <c r="H79" s="253"/>
      <c r="I79" s="253"/>
      <c r="J79" s="253"/>
      <c r="K79" s="271"/>
      <c r="L79" s="271"/>
      <c r="M79" s="271"/>
      <c r="N79" s="260"/>
    </row>
    <row r="80" spans="1:14" ht="15.75" x14ac:dyDescent="0.25">
      <c r="A80" s="260"/>
      <c r="B80" s="277" t="s">
        <v>2464</v>
      </c>
      <c r="C80" s="261" t="s">
        <v>2465</v>
      </c>
      <c r="D80" s="269">
        <f t="shared" si="12"/>
        <v>12000</v>
      </c>
      <c r="E80" s="269">
        <f t="shared" si="13"/>
        <v>1565</v>
      </c>
      <c r="F80" s="269">
        <v>2000</v>
      </c>
      <c r="G80" s="269">
        <v>2000</v>
      </c>
      <c r="H80" s="269">
        <v>2000</v>
      </c>
      <c r="I80" s="269">
        <v>3000</v>
      </c>
      <c r="J80" s="269">
        <v>3000</v>
      </c>
      <c r="K80" s="271"/>
      <c r="L80" s="271"/>
      <c r="M80" s="271"/>
      <c r="N80" s="260"/>
    </row>
    <row r="81" spans="1:14" ht="15.75" x14ac:dyDescent="0.25">
      <c r="A81" s="260"/>
      <c r="B81" s="261" t="s">
        <v>2464</v>
      </c>
      <c r="C81" s="261" t="s">
        <v>2466</v>
      </c>
      <c r="D81" s="269">
        <f t="shared" si="12"/>
        <v>10000</v>
      </c>
      <c r="E81" s="269">
        <f t="shared" si="13"/>
        <v>1304</v>
      </c>
      <c r="F81" s="253">
        <v>10000</v>
      </c>
      <c r="G81" s="269"/>
      <c r="H81" s="269"/>
      <c r="I81" s="269"/>
      <c r="J81" s="269"/>
      <c r="K81" s="271"/>
      <c r="L81" s="271">
        <v>10000</v>
      </c>
      <c r="M81" s="271"/>
      <c r="N81" s="260" t="s">
        <v>2458</v>
      </c>
    </row>
    <row r="82" spans="1:14" ht="15.75" x14ac:dyDescent="0.25">
      <c r="A82" s="260"/>
      <c r="B82" s="277" t="s">
        <v>2467</v>
      </c>
      <c r="C82" s="261" t="s">
        <v>2468</v>
      </c>
      <c r="D82" s="269">
        <f t="shared" si="12"/>
        <v>25000</v>
      </c>
      <c r="E82" s="269">
        <f t="shared" si="13"/>
        <v>3261</v>
      </c>
      <c r="F82" s="269"/>
      <c r="G82" s="269">
        <v>25000</v>
      </c>
      <c r="H82" s="269"/>
      <c r="I82" s="269"/>
      <c r="J82" s="269"/>
      <c r="K82" s="271"/>
      <c r="L82" s="271"/>
      <c r="M82" s="271"/>
      <c r="N82" s="260"/>
    </row>
    <row r="83" spans="1:14" ht="15.75" x14ac:dyDescent="0.25">
      <c r="A83" s="260"/>
      <c r="B83" s="277" t="s">
        <v>2469</v>
      </c>
      <c r="C83" s="261" t="s">
        <v>2470</v>
      </c>
      <c r="D83" s="269">
        <f t="shared" si="12"/>
        <v>30000</v>
      </c>
      <c r="E83" s="269">
        <f t="shared" si="13"/>
        <v>3913</v>
      </c>
      <c r="F83" s="269">
        <v>30000</v>
      </c>
      <c r="G83" s="269"/>
      <c r="H83" s="269"/>
      <c r="I83" s="269"/>
      <c r="J83" s="269"/>
      <c r="K83" s="271"/>
      <c r="L83" s="271"/>
      <c r="M83" s="271"/>
      <c r="N83" s="260"/>
    </row>
    <row r="84" spans="1:14" ht="15.75" x14ac:dyDescent="0.25">
      <c r="A84" s="260"/>
      <c r="B84" s="277" t="s">
        <v>2469</v>
      </c>
      <c r="C84" s="261" t="s">
        <v>2471</v>
      </c>
      <c r="D84" s="269">
        <f t="shared" si="12"/>
        <v>10000</v>
      </c>
      <c r="E84" s="269">
        <f t="shared" si="13"/>
        <v>1304</v>
      </c>
      <c r="F84" s="269"/>
      <c r="G84" s="269">
        <v>10000</v>
      </c>
      <c r="H84" s="269"/>
      <c r="I84" s="269"/>
      <c r="J84" s="269"/>
      <c r="K84" s="271"/>
      <c r="L84" s="271"/>
      <c r="M84" s="271"/>
      <c r="N84" s="260"/>
    </row>
    <row r="85" spans="1:14" s="154" customFormat="1" ht="15.75" x14ac:dyDescent="0.25">
      <c r="A85" s="325"/>
      <c r="B85" s="323">
        <f>SUM(F85:J85)</f>
        <v>101000</v>
      </c>
      <c r="C85" s="326" t="s">
        <v>2472</v>
      </c>
      <c r="D85" s="327">
        <f>SUM(D78:D84)</f>
        <v>101000</v>
      </c>
      <c r="E85" s="327">
        <f t="shared" si="13"/>
        <v>13174</v>
      </c>
      <c r="F85" s="327">
        <f t="shared" ref="F85:L85" si="14">SUM(F78:F84)</f>
        <v>48000</v>
      </c>
      <c r="G85" s="327">
        <f t="shared" si="14"/>
        <v>39000</v>
      </c>
      <c r="H85" s="327">
        <f t="shared" si="14"/>
        <v>4000</v>
      </c>
      <c r="I85" s="327">
        <f t="shared" si="14"/>
        <v>5000</v>
      </c>
      <c r="J85" s="327">
        <f t="shared" si="14"/>
        <v>5000</v>
      </c>
      <c r="K85" s="327">
        <f t="shared" si="14"/>
        <v>0</v>
      </c>
      <c r="L85" s="327">
        <f t="shared" si="14"/>
        <v>10000</v>
      </c>
      <c r="M85" s="328"/>
      <c r="N85" s="325"/>
    </row>
    <row r="86" spans="1:14" ht="15.75" x14ac:dyDescent="0.25">
      <c r="A86" s="320"/>
      <c r="D86" s="316"/>
      <c r="E86" s="316"/>
      <c r="F86" s="318"/>
      <c r="G86" s="316"/>
      <c r="H86" s="316"/>
      <c r="I86" s="316"/>
      <c r="J86" s="316"/>
      <c r="K86" s="316"/>
      <c r="L86" s="316"/>
      <c r="M86" s="316"/>
      <c r="N86" s="320"/>
    </row>
    <row r="87" spans="1:14" ht="15.75" x14ac:dyDescent="0.25">
      <c r="A87" s="320"/>
      <c r="D87" s="316"/>
      <c r="E87" s="316"/>
      <c r="F87" s="318"/>
      <c r="G87" s="316"/>
      <c r="H87" s="316"/>
      <c r="I87" s="316"/>
      <c r="J87" s="316"/>
      <c r="K87" s="316"/>
      <c r="L87" s="316"/>
      <c r="M87" s="316"/>
      <c r="N87" s="320"/>
    </row>
    <row r="88" spans="1:14" ht="15.75" x14ac:dyDescent="0.25">
      <c r="A88" s="320"/>
      <c r="D88" s="316"/>
      <c r="E88" s="316"/>
      <c r="F88" s="318"/>
      <c r="G88" s="316"/>
      <c r="H88" s="316"/>
      <c r="I88" s="316"/>
      <c r="J88" s="316"/>
      <c r="K88" s="316"/>
      <c r="L88" s="316"/>
      <c r="M88" s="316"/>
      <c r="N88" s="320"/>
    </row>
    <row r="89" spans="1:14" ht="16.5" thickBot="1" x14ac:dyDescent="0.3">
      <c r="A89" s="320"/>
      <c r="D89" s="316"/>
      <c r="E89" s="316"/>
      <c r="F89" s="318"/>
      <c r="G89" s="316"/>
      <c r="H89" s="316"/>
      <c r="I89" s="316"/>
      <c r="J89" s="316"/>
      <c r="K89" s="316"/>
      <c r="L89" s="316"/>
      <c r="M89" s="316"/>
      <c r="N89" s="320"/>
    </row>
    <row r="90" spans="1:14" ht="16.5" thickBot="1" x14ac:dyDescent="0.3">
      <c r="A90" s="310" t="s">
        <v>2473</v>
      </c>
      <c r="B90" s="311"/>
      <c r="C90" s="311"/>
      <c r="D90" s="312">
        <f t="shared" ref="D90:M90" si="15">D65+D76+D85</f>
        <v>3594700</v>
      </c>
      <c r="E90" s="312">
        <f t="shared" si="15"/>
        <v>468873</v>
      </c>
      <c r="F90" s="312">
        <f t="shared" si="15"/>
        <v>325500</v>
      </c>
      <c r="G90" s="312">
        <f t="shared" si="15"/>
        <v>1120300</v>
      </c>
      <c r="H90" s="312">
        <f t="shared" si="15"/>
        <v>487800</v>
      </c>
      <c r="I90" s="312">
        <f t="shared" si="15"/>
        <v>220300</v>
      </c>
      <c r="J90" s="312">
        <f t="shared" si="15"/>
        <v>1440800</v>
      </c>
      <c r="K90" s="312">
        <f t="shared" si="15"/>
        <v>0</v>
      </c>
      <c r="L90" s="312">
        <f t="shared" si="15"/>
        <v>128500</v>
      </c>
      <c r="M90" s="312">
        <f t="shared" si="15"/>
        <v>0</v>
      </c>
      <c r="N90" s="310"/>
    </row>
    <row r="91" spans="1:14" ht="15.75" x14ac:dyDescent="0.25">
      <c r="A91" s="320"/>
      <c r="D91" s="316"/>
      <c r="E91" s="316"/>
      <c r="F91" s="318"/>
      <c r="G91" s="316"/>
      <c r="H91" s="316"/>
      <c r="I91" s="316"/>
      <c r="J91" s="316"/>
      <c r="K91" s="316"/>
      <c r="L91" s="316"/>
      <c r="M91" s="316"/>
      <c r="N91" s="320"/>
    </row>
    <row r="92" spans="1:14" ht="15.75" x14ac:dyDescent="0.25">
      <c r="A92" s="320"/>
      <c r="D92" s="316"/>
      <c r="E92" s="316"/>
      <c r="F92" s="318"/>
      <c r="G92" s="316"/>
      <c r="H92" s="316"/>
      <c r="I92" s="316"/>
      <c r="J92" s="316"/>
      <c r="K92" s="316"/>
      <c r="L92" s="316"/>
      <c r="M92" s="316"/>
      <c r="N92" s="320"/>
    </row>
    <row r="93" spans="1:14" ht="15.75" x14ac:dyDescent="0.25">
      <c r="A93" s="320"/>
      <c r="D93" s="316"/>
      <c r="E93" s="316"/>
      <c r="F93" s="318"/>
      <c r="G93" s="316"/>
      <c r="H93" s="316"/>
      <c r="I93" s="316"/>
      <c r="J93" s="316"/>
      <c r="K93" s="316"/>
      <c r="L93" s="316"/>
      <c r="M93" s="316"/>
      <c r="N93" s="320"/>
    </row>
    <row r="94" spans="1:14" ht="15.75" x14ac:dyDescent="0.25">
      <c r="A94" s="320"/>
      <c r="D94" s="316"/>
      <c r="E94" s="316"/>
      <c r="F94" s="318"/>
      <c r="G94" s="316"/>
      <c r="H94" s="316"/>
      <c r="I94" s="316"/>
      <c r="J94" s="316"/>
      <c r="K94" s="316"/>
      <c r="L94" s="316"/>
      <c r="M94" s="316"/>
      <c r="N94" s="320"/>
    </row>
    <row r="95" spans="1:14" ht="15.75" x14ac:dyDescent="0.25">
      <c r="A95" s="320"/>
      <c r="D95" s="316"/>
      <c r="E95" s="316"/>
      <c r="F95" s="318"/>
      <c r="G95" s="316"/>
      <c r="H95" s="316"/>
      <c r="I95" s="316"/>
      <c r="J95" s="316"/>
      <c r="K95" s="316"/>
      <c r="L95" s="316"/>
      <c r="M95" s="316"/>
      <c r="N95" s="320"/>
    </row>
    <row r="96" spans="1:14" ht="15.75" x14ac:dyDescent="0.25">
      <c r="A96" s="320"/>
      <c r="D96" s="316"/>
      <c r="E96" s="316"/>
      <c r="F96" s="318"/>
      <c r="G96" s="316"/>
      <c r="H96" s="316"/>
      <c r="I96" s="316"/>
      <c r="J96" s="316"/>
      <c r="K96" s="316"/>
      <c r="L96" s="316"/>
      <c r="M96" s="316"/>
      <c r="N96" s="320"/>
    </row>
    <row r="97" spans="1:14" ht="15.75" x14ac:dyDescent="0.25">
      <c r="A97" s="320"/>
      <c r="D97" s="316"/>
      <c r="E97" s="316"/>
      <c r="F97" s="318"/>
      <c r="G97" s="316"/>
      <c r="H97" s="316"/>
      <c r="I97" s="316"/>
      <c r="J97" s="316"/>
      <c r="K97" s="316"/>
      <c r="L97" s="316"/>
      <c r="M97" s="316"/>
      <c r="N97" s="320"/>
    </row>
    <row r="98" spans="1:14" ht="15.75" x14ac:dyDescent="0.25">
      <c r="A98" s="320"/>
      <c r="D98" s="316"/>
      <c r="E98" s="316"/>
      <c r="F98" s="318"/>
      <c r="G98" s="316"/>
      <c r="H98" s="316"/>
      <c r="I98" s="316"/>
      <c r="J98" s="316"/>
      <c r="K98" s="316"/>
      <c r="L98" s="316"/>
      <c r="M98" s="316"/>
      <c r="N98" s="320"/>
    </row>
    <row r="99" spans="1:14" ht="15.75" x14ac:dyDescent="0.25">
      <c r="A99" s="320"/>
      <c r="D99" s="316"/>
      <c r="E99" s="316"/>
      <c r="F99" s="318"/>
      <c r="G99" s="316"/>
      <c r="H99" s="316"/>
      <c r="I99" s="316"/>
      <c r="J99" s="316"/>
      <c r="K99" s="316"/>
      <c r="L99" s="316"/>
      <c r="M99" s="316"/>
      <c r="N99" s="320"/>
    </row>
    <row r="100" spans="1:14" ht="15.75" x14ac:dyDescent="0.25">
      <c r="A100" t="s">
        <v>2474</v>
      </c>
      <c r="D100" s="316"/>
      <c r="E100" s="316"/>
      <c r="F100" s="318"/>
      <c r="G100" s="316"/>
      <c r="H100" s="316"/>
      <c r="I100" s="316"/>
      <c r="J100" s="316"/>
      <c r="K100" s="316"/>
      <c r="L100" s="316"/>
      <c r="M100" s="316"/>
      <c r="N100" s="320"/>
    </row>
    <row r="101" spans="1:14" ht="15.75" x14ac:dyDescent="0.25">
      <c r="B101" t="s">
        <v>2475</v>
      </c>
      <c r="C101" t="s">
        <v>2476</v>
      </c>
      <c r="D101" s="316"/>
      <c r="E101" s="316"/>
      <c r="F101" s="318"/>
      <c r="G101" s="316"/>
      <c r="H101" s="316"/>
      <c r="I101" s="316"/>
      <c r="J101" s="316"/>
      <c r="K101" s="316"/>
      <c r="L101" s="316"/>
      <c r="M101" s="316"/>
      <c r="N101" s="320"/>
    </row>
    <row r="102" spans="1:14" ht="15.75" x14ac:dyDescent="0.25">
      <c r="B102" t="s">
        <v>2475</v>
      </c>
      <c r="C102" t="s">
        <v>2477</v>
      </c>
      <c r="D102" s="316"/>
      <c r="E102" s="316"/>
      <c r="F102" s="318"/>
      <c r="G102" s="316"/>
      <c r="H102" s="316"/>
      <c r="I102" s="316"/>
      <c r="J102" s="316"/>
      <c r="K102" s="316"/>
      <c r="L102" s="316"/>
      <c r="M102" s="316"/>
      <c r="N102" s="320"/>
    </row>
    <row r="103" spans="1:14" x14ac:dyDescent="0.25">
      <c r="A103" t="s">
        <v>2478</v>
      </c>
      <c r="F103" s="329"/>
      <c r="G103" s="208"/>
    </row>
    <row r="104" spans="1:14" x14ac:dyDescent="0.25">
      <c r="C104" t="s">
        <v>2479</v>
      </c>
      <c r="F104" s="329"/>
      <c r="G104" s="208"/>
    </row>
    <row r="105" spans="1:14" x14ac:dyDescent="0.25">
      <c r="C105" t="s">
        <v>2480</v>
      </c>
      <c r="F105" s="329"/>
      <c r="G105" s="208"/>
    </row>
    <row r="106" spans="1:14" x14ac:dyDescent="0.25">
      <c r="C106" t="s">
        <v>2481</v>
      </c>
      <c r="F106" s="329"/>
      <c r="G106" s="208"/>
    </row>
    <row r="107" spans="1:14" x14ac:dyDescent="0.25">
      <c r="C107" t="s">
        <v>2482</v>
      </c>
      <c r="F107" s="329"/>
      <c r="G107" s="208"/>
    </row>
    <row r="108" spans="1:14" x14ac:dyDescent="0.25">
      <c r="C108" t="s">
        <v>2483</v>
      </c>
      <c r="F108" s="329"/>
      <c r="G108" s="208"/>
    </row>
    <row r="109" spans="1:14" x14ac:dyDescent="0.25">
      <c r="C109" t="s">
        <v>2484</v>
      </c>
    </row>
  </sheetData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4F16-A68B-4185-BAFC-8CDE1C703A52}">
  <dimension ref="A2:L80"/>
  <sheetViews>
    <sheetView zoomScale="90" zoomScaleNormal="90" workbookViewId="0">
      <pane ySplit="6" topLeftCell="A46" activePane="bottomLeft" state="frozen"/>
      <selection pane="bottomLeft" activeCell="J48" sqref="J48"/>
    </sheetView>
  </sheetViews>
  <sheetFormatPr defaultRowHeight="15" x14ac:dyDescent="0.25"/>
  <cols>
    <col min="1" max="1" width="9.7109375" customWidth="1"/>
    <col min="2" max="2" width="19.28515625" customWidth="1"/>
    <col min="3" max="3" width="41.42578125" customWidth="1"/>
    <col min="4" max="4" width="14.28515625" style="208" customWidth="1"/>
    <col min="5" max="5" width="14.5703125" style="208" customWidth="1"/>
    <col min="6" max="6" width="14.85546875" style="176" customWidth="1"/>
    <col min="7" max="7" width="15.42578125" style="208" customWidth="1"/>
    <col min="8" max="8" width="10" style="208" customWidth="1"/>
    <col min="9" max="9" width="34.7109375" customWidth="1"/>
  </cols>
  <sheetData>
    <row r="2" spans="1:12" s="243" customFormat="1" ht="30" customHeight="1" x14ac:dyDescent="0.55000000000000004">
      <c r="C2" s="244" t="s">
        <v>2328</v>
      </c>
      <c r="D2" s="245" t="s">
        <v>2485</v>
      </c>
      <c r="E2" s="246"/>
      <c r="F2" s="247"/>
      <c r="G2" s="248"/>
      <c r="H2" s="248"/>
    </row>
    <row r="3" spans="1:12" s="243" customFormat="1" ht="5.25" customHeight="1" x14ac:dyDescent="0.35">
      <c r="C3" s="244" t="s">
        <v>2500</v>
      </c>
      <c r="D3" s="248"/>
      <c r="E3" s="248"/>
      <c r="F3" s="247"/>
      <c r="G3" s="248"/>
      <c r="H3" s="248"/>
      <c r="K3" s="243">
        <f>192.27*53/90</f>
        <v>113.22566666666668</v>
      </c>
    </row>
    <row r="4" spans="1:12" s="243" customFormat="1" ht="21" x14ac:dyDescent="0.35">
      <c r="A4" s="249" t="s">
        <v>2502</v>
      </c>
      <c r="C4" s="244" t="s">
        <v>2332</v>
      </c>
      <c r="D4" s="246"/>
      <c r="E4" s="246"/>
      <c r="F4" s="247"/>
      <c r="G4" s="248"/>
      <c r="H4" s="248"/>
    </row>
    <row r="5" spans="1:12" s="249" customFormat="1" ht="15.75" customHeight="1" x14ac:dyDescent="0.35">
      <c r="A5" s="250"/>
      <c r="B5" s="250" t="s">
        <v>2501</v>
      </c>
      <c r="C5" s="250"/>
      <c r="D5" s="251" t="s">
        <v>2333</v>
      </c>
      <c r="E5" s="252" t="s">
        <v>2334</v>
      </c>
      <c r="F5" s="253" t="s">
        <v>2335</v>
      </c>
      <c r="G5" s="254" t="s">
        <v>2341</v>
      </c>
      <c r="H5" s="254" t="s">
        <v>2342</v>
      </c>
      <c r="I5" s="255" t="s">
        <v>2343</v>
      </c>
      <c r="J5" s="12"/>
      <c r="K5" s="12"/>
      <c r="L5" s="12"/>
    </row>
    <row r="6" spans="1:12" s="154" customFormat="1" x14ac:dyDescent="0.25">
      <c r="A6" s="256" t="s">
        <v>2344</v>
      </c>
      <c r="B6" s="256" t="s">
        <v>2345</v>
      </c>
      <c r="C6" s="256" t="s">
        <v>2346</v>
      </c>
      <c r="D6" s="252" t="s">
        <v>2486</v>
      </c>
      <c r="E6" s="252" t="s">
        <v>2348</v>
      </c>
      <c r="F6" s="257" t="s">
        <v>2349</v>
      </c>
      <c r="G6" s="258" t="s">
        <v>2355</v>
      </c>
      <c r="H6" s="258" t="s">
        <v>2356</v>
      </c>
      <c r="I6" s="259"/>
    </row>
    <row r="7" spans="1:12" ht="15.75" x14ac:dyDescent="0.25">
      <c r="A7" s="260"/>
      <c r="B7" s="261"/>
      <c r="C7" s="261"/>
      <c r="D7" s="262"/>
      <c r="E7" s="262"/>
      <c r="F7" s="263"/>
      <c r="G7" s="265"/>
      <c r="H7" s="265"/>
      <c r="I7" s="261"/>
    </row>
    <row r="8" spans="1:12" ht="21" x14ac:dyDescent="0.35">
      <c r="A8" s="266" t="s">
        <v>2357</v>
      </c>
      <c r="B8" s="267"/>
      <c r="C8" s="267"/>
      <c r="D8" s="268"/>
      <c r="E8" s="268"/>
      <c r="F8" s="269"/>
      <c r="G8" s="271"/>
      <c r="H8" s="271"/>
      <c r="I8" s="260"/>
    </row>
    <row r="9" spans="1:12" ht="15.75" x14ac:dyDescent="0.25">
      <c r="A9" s="272"/>
      <c r="B9" s="273" t="s">
        <v>1410</v>
      </c>
      <c r="C9" s="273"/>
      <c r="D9" s="274"/>
      <c r="E9" s="274"/>
      <c r="F9" s="275"/>
      <c r="G9" s="271"/>
      <c r="H9" s="271"/>
      <c r="I9" s="260"/>
    </row>
    <row r="10" spans="1:12" ht="15.75" x14ac:dyDescent="0.25">
      <c r="A10" s="260"/>
      <c r="B10" s="277" t="s">
        <v>2358</v>
      </c>
      <c r="C10" s="277" t="s">
        <v>2359</v>
      </c>
      <c r="D10" s="269" t="s">
        <v>2360</v>
      </c>
      <c r="E10" s="268"/>
      <c r="F10" s="269" t="s">
        <v>2360</v>
      </c>
      <c r="G10" s="271"/>
      <c r="H10" s="271"/>
      <c r="I10" s="260"/>
    </row>
    <row r="11" spans="1:12" ht="15.75" x14ac:dyDescent="0.25">
      <c r="A11" s="260"/>
      <c r="B11" s="277" t="s">
        <v>2358</v>
      </c>
      <c r="C11" s="277" t="s">
        <v>2361</v>
      </c>
      <c r="D11" s="268">
        <f>SUM(F11:F11)</f>
        <v>6000</v>
      </c>
      <c r="E11" s="268">
        <f>D11-ROUND(D11/1.15,0)</f>
        <v>783</v>
      </c>
      <c r="F11" s="269">
        <v>6000</v>
      </c>
      <c r="G11" s="271"/>
      <c r="H11" s="271"/>
      <c r="I11" s="260"/>
    </row>
    <row r="12" spans="1:12" ht="15.75" x14ac:dyDescent="0.25">
      <c r="A12" s="272"/>
      <c r="B12" s="273" t="s">
        <v>1820</v>
      </c>
      <c r="C12" s="273"/>
      <c r="D12" s="274"/>
      <c r="E12" s="274"/>
      <c r="F12" s="275"/>
      <c r="G12" s="271"/>
      <c r="H12" s="271"/>
      <c r="I12" s="260"/>
      <c r="L12" t="e">
        <f>#REF!*1.15</f>
        <v>#REF!</v>
      </c>
    </row>
    <row r="13" spans="1:12" ht="15.75" x14ac:dyDescent="0.25">
      <c r="A13" s="260">
        <v>1625</v>
      </c>
      <c r="B13" s="277" t="s">
        <v>2372</v>
      </c>
      <c r="C13" s="277" t="s">
        <v>2373</v>
      </c>
      <c r="D13" s="268">
        <f>SUM(F13:F13)</f>
        <v>10000</v>
      </c>
      <c r="E13" s="268">
        <f t="shared" ref="E13:E14" si="0">D13-ROUND(D13/1.15,0)</f>
        <v>1304</v>
      </c>
      <c r="F13" s="269">
        <v>10000</v>
      </c>
      <c r="G13" s="271">
        <v>3500</v>
      </c>
      <c r="H13" s="271"/>
      <c r="I13" s="260" t="s">
        <v>2374</v>
      </c>
    </row>
    <row r="14" spans="1:12" ht="15.75" x14ac:dyDescent="0.25">
      <c r="A14" s="260">
        <v>1625</v>
      </c>
      <c r="B14" s="277" t="s">
        <v>2375</v>
      </c>
      <c r="C14" s="277" t="s">
        <v>2376</v>
      </c>
      <c r="D14" s="268">
        <f>SUM(F14:F14)</f>
        <v>3000</v>
      </c>
      <c r="E14" s="268">
        <f t="shared" si="0"/>
        <v>391</v>
      </c>
      <c r="F14" s="269">
        <v>3000</v>
      </c>
      <c r="G14" s="271"/>
      <c r="H14" s="271"/>
      <c r="I14" s="260"/>
    </row>
    <row r="15" spans="1:12" ht="15.75" x14ac:dyDescent="0.25">
      <c r="A15" s="279"/>
      <c r="B15" s="280" t="s">
        <v>2378</v>
      </c>
      <c r="C15" s="281"/>
      <c r="D15" s="274"/>
      <c r="E15" s="274"/>
      <c r="F15" s="275"/>
      <c r="G15" s="271"/>
      <c r="H15" s="271"/>
      <c r="I15" s="260"/>
    </row>
    <row r="16" spans="1:12" ht="15.75" x14ac:dyDescent="0.25">
      <c r="A16" s="260"/>
      <c r="B16" s="277"/>
      <c r="C16" s="277"/>
      <c r="D16" s="268"/>
      <c r="E16" s="268"/>
      <c r="F16" s="269"/>
      <c r="G16" s="271"/>
      <c r="H16" s="271"/>
      <c r="I16" s="260"/>
    </row>
    <row r="17" spans="1:9" ht="15.75" x14ac:dyDescent="0.25">
      <c r="A17" s="272"/>
      <c r="B17" s="273" t="s">
        <v>2379</v>
      </c>
      <c r="C17" s="273"/>
      <c r="D17" s="274"/>
      <c r="E17" s="274"/>
      <c r="F17" s="275"/>
      <c r="G17" s="271"/>
      <c r="H17" s="271"/>
      <c r="I17" s="260"/>
    </row>
    <row r="18" spans="1:9" ht="15.75" x14ac:dyDescent="0.25">
      <c r="A18" s="282">
        <v>1610</v>
      </c>
      <c r="B18" s="283" t="s">
        <v>2380</v>
      </c>
      <c r="C18" s="283" t="s">
        <v>2381</v>
      </c>
      <c r="D18" s="268">
        <f>SUM(F18:F18)</f>
        <v>20000</v>
      </c>
      <c r="E18" s="268">
        <f>D18-ROUND(D18/1.15,0)</f>
        <v>2609</v>
      </c>
      <c r="F18" s="269">
        <v>20000</v>
      </c>
      <c r="G18" s="271"/>
      <c r="H18" s="271"/>
      <c r="I18" s="260"/>
    </row>
    <row r="19" spans="1:9" ht="15.75" x14ac:dyDescent="0.25">
      <c r="A19" s="260">
        <v>1660</v>
      </c>
      <c r="B19" s="277" t="s">
        <v>2382</v>
      </c>
      <c r="C19" s="277" t="s">
        <v>2383</v>
      </c>
      <c r="D19" s="268">
        <f>SUM(F19:F19)</f>
        <v>70000</v>
      </c>
      <c r="E19" s="268">
        <f>D19-ROUND(D19/1.15,0)</f>
        <v>9130</v>
      </c>
      <c r="F19" s="269">
        <v>70000</v>
      </c>
      <c r="G19" s="271">
        <v>70000</v>
      </c>
      <c r="H19" s="271"/>
      <c r="I19" s="260" t="s">
        <v>2101</v>
      </c>
    </row>
    <row r="20" spans="1:9" ht="15.75" x14ac:dyDescent="0.25">
      <c r="A20" s="260"/>
      <c r="B20" s="277"/>
      <c r="C20" s="277" t="s">
        <v>2384</v>
      </c>
      <c r="D20" s="268">
        <f>SUM(F20:F20)</f>
        <v>10000</v>
      </c>
      <c r="E20" s="268">
        <f>D20-ROUND(D20/1.15,0)</f>
        <v>1304</v>
      </c>
      <c r="F20" s="269">
        <v>10000</v>
      </c>
      <c r="G20" s="271">
        <v>5000</v>
      </c>
      <c r="H20" s="271"/>
      <c r="I20" s="260" t="s">
        <v>2101</v>
      </c>
    </row>
    <row r="21" spans="1:9" ht="15.75" x14ac:dyDescent="0.25">
      <c r="A21" s="272"/>
      <c r="B21" s="273" t="s">
        <v>2387</v>
      </c>
      <c r="C21" s="273"/>
      <c r="D21" s="274"/>
      <c r="E21" s="274"/>
      <c r="F21" s="275"/>
      <c r="G21" s="271"/>
      <c r="H21" s="271"/>
      <c r="I21" s="260"/>
    </row>
    <row r="22" spans="1:9" ht="15.75" x14ac:dyDescent="0.25">
      <c r="A22" s="282" t="s">
        <v>2391</v>
      </c>
      <c r="B22" s="283" t="s">
        <v>2392</v>
      </c>
      <c r="C22" s="267" t="s">
        <v>2393</v>
      </c>
      <c r="D22" s="268">
        <f>SUM(F22:F22)</f>
        <v>5000</v>
      </c>
      <c r="E22" s="268">
        <f t="shared" ref="E22:E27" si="1">D22-ROUND(D22/1.15,0)</f>
        <v>652</v>
      </c>
      <c r="F22" s="269">
        <v>5000</v>
      </c>
      <c r="G22" s="271"/>
      <c r="H22" s="271"/>
      <c r="I22" s="260"/>
    </row>
    <row r="23" spans="1:9" ht="15.75" x14ac:dyDescent="0.25">
      <c r="A23" s="282" t="s">
        <v>2391</v>
      </c>
      <c r="B23" s="283" t="s">
        <v>2394</v>
      </c>
      <c r="C23" s="267" t="s">
        <v>2395</v>
      </c>
      <c r="D23" s="268">
        <f>SUM(F23:F23)</f>
        <v>10000</v>
      </c>
      <c r="E23" s="268">
        <f t="shared" si="1"/>
        <v>1304</v>
      </c>
      <c r="F23" s="269">
        <v>10000</v>
      </c>
      <c r="G23" s="271"/>
      <c r="H23" s="271"/>
      <c r="I23" s="260"/>
    </row>
    <row r="24" spans="1:9" ht="15.75" x14ac:dyDescent="0.25">
      <c r="A24" s="282">
        <v>1650</v>
      </c>
      <c r="B24" s="283" t="s">
        <v>2396</v>
      </c>
      <c r="C24" s="267" t="s">
        <v>2397</v>
      </c>
      <c r="D24" s="268">
        <f>SUM(F24:F24)</f>
        <v>3000</v>
      </c>
      <c r="E24" s="268">
        <f t="shared" si="1"/>
        <v>391</v>
      </c>
      <c r="F24" s="269">
        <v>3000</v>
      </c>
      <c r="G24" s="271"/>
      <c r="H24" s="271"/>
      <c r="I24" s="260"/>
    </row>
    <row r="25" spans="1:9" ht="15.75" x14ac:dyDescent="0.25">
      <c r="A25" s="260" t="s">
        <v>2391</v>
      </c>
      <c r="B25" s="277" t="s">
        <v>2398</v>
      </c>
      <c r="C25" s="277" t="s">
        <v>2399</v>
      </c>
      <c r="D25" s="268">
        <f>SUM(F25:F25)</f>
        <v>3000</v>
      </c>
      <c r="E25" s="268">
        <f t="shared" si="1"/>
        <v>391</v>
      </c>
      <c r="F25" s="269">
        <v>3000</v>
      </c>
      <c r="G25" s="271"/>
      <c r="H25" s="271"/>
      <c r="I25" s="260"/>
    </row>
    <row r="26" spans="1:9" ht="15.75" x14ac:dyDescent="0.25">
      <c r="A26" s="260"/>
      <c r="B26" s="277" t="s">
        <v>2400</v>
      </c>
      <c r="C26" s="277" t="s">
        <v>2401</v>
      </c>
      <c r="D26" s="284">
        <f>SUM(F26:F26)</f>
        <v>15000</v>
      </c>
      <c r="E26" s="268">
        <f t="shared" si="1"/>
        <v>1957</v>
      </c>
      <c r="F26" s="269">
        <v>15000</v>
      </c>
      <c r="G26" s="271"/>
      <c r="H26" s="271"/>
      <c r="I26" s="260"/>
    </row>
    <row r="27" spans="1:9" ht="15.75" x14ac:dyDescent="0.25">
      <c r="A27" s="260"/>
      <c r="B27" s="277" t="s">
        <v>2402</v>
      </c>
      <c r="C27" s="277" t="s">
        <v>2403</v>
      </c>
      <c r="D27" s="268">
        <f>SUM(F27:F27)</f>
        <v>30000</v>
      </c>
      <c r="E27" s="268">
        <f t="shared" si="1"/>
        <v>3913</v>
      </c>
      <c r="F27" s="269">
        <v>30000</v>
      </c>
      <c r="G27" s="271">
        <v>30000</v>
      </c>
      <c r="H27" s="271"/>
      <c r="I27" s="260"/>
    </row>
    <row r="28" spans="1:9" ht="15.75" x14ac:dyDescent="0.25">
      <c r="A28" s="260"/>
      <c r="B28" s="277" t="s">
        <v>2409</v>
      </c>
      <c r="C28" s="277" t="s">
        <v>2410</v>
      </c>
      <c r="D28" s="268">
        <f>SUM(F28:F28)</f>
        <v>10000</v>
      </c>
      <c r="E28" s="268">
        <f>D28-ROUND(D28/1.15,0)</f>
        <v>1304</v>
      </c>
      <c r="F28" s="269">
        <v>10000</v>
      </c>
      <c r="G28" s="271"/>
      <c r="H28" s="271"/>
      <c r="I28" s="260" t="s">
        <v>2411</v>
      </c>
    </row>
    <row r="29" spans="1:9" ht="15.75" x14ac:dyDescent="0.25">
      <c r="A29" s="272"/>
      <c r="B29" s="273" t="s">
        <v>2414</v>
      </c>
      <c r="C29" s="273"/>
      <c r="D29" s="274"/>
      <c r="E29" s="274"/>
      <c r="F29" s="275"/>
      <c r="G29" s="271"/>
      <c r="H29" s="271"/>
      <c r="I29" s="260"/>
    </row>
    <row r="30" spans="1:9" ht="15.75" x14ac:dyDescent="0.25">
      <c r="A30" s="282"/>
      <c r="B30" s="267" t="s">
        <v>2418</v>
      </c>
      <c r="C30" s="267" t="s">
        <v>2419</v>
      </c>
      <c r="D30" s="284">
        <f>SUM(F30:F30)</f>
        <v>3000</v>
      </c>
      <c r="E30" s="268">
        <f>D30-ROUND(D30/1.15,0)</f>
        <v>391</v>
      </c>
      <c r="F30" s="269">
        <v>3000</v>
      </c>
      <c r="G30" s="271"/>
      <c r="H30" s="271"/>
      <c r="I30" s="260"/>
    </row>
    <row r="31" spans="1:9" ht="15.75" x14ac:dyDescent="0.25">
      <c r="A31" s="282">
        <v>1650</v>
      </c>
      <c r="B31" s="277" t="s">
        <v>2420</v>
      </c>
      <c r="C31" s="267" t="s">
        <v>2421</v>
      </c>
      <c r="D31" s="268">
        <f>SUM(F31:F31)</f>
        <v>5000</v>
      </c>
      <c r="E31" s="268">
        <f>D31-ROUND(D31/1.15,0)</f>
        <v>652</v>
      </c>
      <c r="F31" s="269">
        <v>5000</v>
      </c>
      <c r="G31" s="271"/>
      <c r="H31" s="271"/>
      <c r="I31" s="260"/>
    </row>
    <row r="32" spans="1:9" ht="15.75" x14ac:dyDescent="0.25">
      <c r="A32" s="272"/>
      <c r="B32" s="273" t="s">
        <v>2423</v>
      </c>
      <c r="C32" s="273"/>
      <c r="D32" s="274"/>
      <c r="E32" s="274"/>
      <c r="F32" s="275"/>
      <c r="G32" s="271"/>
      <c r="H32" s="271"/>
      <c r="I32" s="260" t="s">
        <v>2424</v>
      </c>
    </row>
    <row r="33" spans="1:9" ht="15.75" x14ac:dyDescent="0.25">
      <c r="A33" s="282">
        <v>1622</v>
      </c>
      <c r="B33" s="267" t="s">
        <v>2427</v>
      </c>
      <c r="C33" s="267" t="s">
        <v>2428</v>
      </c>
      <c r="D33" s="268">
        <f>SUM(F33:F33)</f>
        <v>500</v>
      </c>
      <c r="E33" s="268">
        <f>D33-ROUND(D33/1.15,0)</f>
        <v>65</v>
      </c>
      <c r="F33" s="269">
        <v>500</v>
      </c>
      <c r="G33" s="271"/>
      <c r="H33" s="271"/>
      <c r="I33" s="260"/>
    </row>
    <row r="34" spans="1:9" ht="11.25" customHeight="1" thickBot="1" x14ac:dyDescent="0.3">
      <c r="A34" s="286"/>
      <c r="B34" s="287"/>
      <c r="C34" s="287"/>
      <c r="D34" s="268"/>
      <c r="E34" s="288"/>
      <c r="F34" s="289"/>
      <c r="G34" s="291"/>
      <c r="H34" s="291"/>
      <c r="I34" s="292"/>
    </row>
    <row r="35" spans="1:9" ht="16.5" thickBot="1" x14ac:dyDescent="0.3">
      <c r="A35" s="293" t="s">
        <v>2429</v>
      </c>
      <c r="B35" s="294"/>
      <c r="C35" s="295"/>
      <c r="D35" s="296">
        <f>SUM(D9:D34)</f>
        <v>203500</v>
      </c>
      <c r="E35" s="296">
        <f>SUM(E9:E34)</f>
        <v>26541</v>
      </c>
      <c r="F35" s="297">
        <f>SUM(F9:F34)</f>
        <v>203500</v>
      </c>
      <c r="G35" s="296">
        <f>SUM(G9:G34)</f>
        <v>108500</v>
      </c>
      <c r="H35" s="296"/>
      <c r="I35" s="296">
        <f>F35-G35</f>
        <v>95000</v>
      </c>
    </row>
    <row r="36" spans="1:9" ht="21" x14ac:dyDescent="0.35">
      <c r="A36" s="305"/>
      <c r="B36" s="299"/>
      <c r="C36" s="299"/>
      <c r="D36" s="268"/>
      <c r="E36" s="300"/>
      <c r="F36" s="301"/>
      <c r="G36" s="303"/>
      <c r="H36" s="303"/>
      <c r="I36" s="304"/>
    </row>
    <row r="37" spans="1:9" ht="15.75" x14ac:dyDescent="0.25">
      <c r="A37" s="272"/>
      <c r="B37" s="273" t="s">
        <v>2430</v>
      </c>
      <c r="C37" s="273"/>
      <c r="D37" s="274"/>
      <c r="E37" s="274"/>
      <c r="F37" s="275"/>
      <c r="G37" s="271"/>
      <c r="H37" s="271"/>
      <c r="I37" s="260"/>
    </row>
    <row r="38" spans="1:9" ht="15.75" x14ac:dyDescent="0.25">
      <c r="A38" s="260">
        <v>1605</v>
      </c>
      <c r="B38" s="277" t="s">
        <v>12</v>
      </c>
      <c r="C38" s="277" t="s">
        <v>2434</v>
      </c>
      <c r="D38" s="268">
        <f>SUM(F38:F38)</f>
        <v>2500</v>
      </c>
      <c r="E38" s="268">
        <f t="shared" ref="E38:E41" si="2">D38-ROUND(D38/1.15,0)</f>
        <v>326</v>
      </c>
      <c r="F38" s="269">
        <v>2500</v>
      </c>
      <c r="G38" s="271"/>
      <c r="H38" s="271"/>
      <c r="I38" s="260"/>
    </row>
    <row r="39" spans="1:9" ht="15.75" x14ac:dyDescent="0.25">
      <c r="A39" s="260">
        <v>1605</v>
      </c>
      <c r="B39" s="277" t="s">
        <v>12</v>
      </c>
      <c r="C39" s="307" t="s">
        <v>2436</v>
      </c>
      <c r="D39" s="268">
        <f>SUM(F39:F39)</f>
        <v>10000</v>
      </c>
      <c r="E39" s="268">
        <f t="shared" si="2"/>
        <v>1304</v>
      </c>
      <c r="F39" s="289">
        <v>10000</v>
      </c>
      <c r="G39" s="308"/>
      <c r="H39" s="308"/>
      <c r="I39" s="309"/>
    </row>
    <row r="40" spans="1:9" ht="15.75" x14ac:dyDescent="0.25">
      <c r="A40" s="260"/>
      <c r="B40" s="277" t="s">
        <v>12</v>
      </c>
      <c r="C40" s="307" t="s">
        <v>2437</v>
      </c>
      <c r="D40" s="268">
        <f>SUM(F40:F40)</f>
        <v>4000</v>
      </c>
      <c r="E40" s="268">
        <f t="shared" si="2"/>
        <v>522</v>
      </c>
      <c r="F40" s="289">
        <v>4000</v>
      </c>
      <c r="G40" s="308"/>
      <c r="H40" s="308"/>
      <c r="I40" s="309"/>
    </row>
    <row r="41" spans="1:9" ht="16.5" thickBot="1" x14ac:dyDescent="0.3">
      <c r="A41" s="260"/>
      <c r="B41" s="277" t="s">
        <v>12</v>
      </c>
      <c r="C41" s="307" t="s">
        <v>2439</v>
      </c>
      <c r="D41" s="268">
        <f>SUM(F41:F41)</f>
        <v>2500</v>
      </c>
      <c r="E41" s="268">
        <f t="shared" si="2"/>
        <v>326</v>
      </c>
      <c r="F41" s="269">
        <v>2500</v>
      </c>
      <c r="G41" s="308"/>
      <c r="H41" s="308"/>
      <c r="I41" s="309"/>
    </row>
    <row r="42" spans="1:9" ht="16.5" thickBot="1" x14ac:dyDescent="0.3">
      <c r="A42" s="310" t="s">
        <v>2440</v>
      </c>
      <c r="B42" s="311"/>
      <c r="C42" s="311"/>
      <c r="D42" s="312">
        <f>SUM(D37:D41)</f>
        <v>19000</v>
      </c>
      <c r="E42" s="312">
        <f>SUM(E37:E41)</f>
        <v>2478</v>
      </c>
      <c r="F42" s="313">
        <f>SUM(F37:F41)</f>
        <v>19000</v>
      </c>
      <c r="G42" s="312">
        <f>SUM(G37:G41)</f>
        <v>0</v>
      </c>
      <c r="H42" s="312"/>
      <c r="I42" s="312">
        <f>F42-G42</f>
        <v>19000</v>
      </c>
    </row>
    <row r="43" spans="1:9" ht="16.5" thickBot="1" x14ac:dyDescent="0.3">
      <c r="A43" s="314"/>
      <c r="B43" s="315"/>
      <c r="C43" s="315"/>
      <c r="D43" s="316"/>
      <c r="E43" s="316"/>
      <c r="F43" s="317"/>
      <c r="G43" s="319"/>
      <c r="H43" s="319"/>
      <c r="I43" s="320"/>
    </row>
    <row r="44" spans="1:9" s="154" customFormat="1" ht="16.5" thickBot="1" x14ac:dyDescent="0.3">
      <c r="A44" s="310" t="s">
        <v>2441</v>
      </c>
      <c r="B44" s="311"/>
      <c r="C44" s="311"/>
      <c r="D44" s="312">
        <f>D35+D42</f>
        <v>222500</v>
      </c>
      <c r="E44" s="312">
        <f>E35+E42</f>
        <v>29019</v>
      </c>
      <c r="F44" s="313">
        <f>F35+F42</f>
        <v>222500</v>
      </c>
      <c r="G44" s="312">
        <f>G35+G42</f>
        <v>108500</v>
      </c>
      <c r="H44" s="312"/>
      <c r="I44" s="312">
        <f>I35+I42</f>
        <v>114000</v>
      </c>
    </row>
    <row r="45" spans="1:9" ht="21" x14ac:dyDescent="0.35">
      <c r="A45" s="321"/>
      <c r="B45" s="322"/>
      <c r="C45" s="322"/>
      <c r="D45" s="268"/>
      <c r="E45" s="300"/>
      <c r="F45" s="301"/>
      <c r="G45" s="303"/>
      <c r="H45" s="303"/>
      <c r="I45" s="304"/>
    </row>
    <row r="46" spans="1:9" ht="21" x14ac:dyDescent="0.35">
      <c r="A46" s="250" t="s">
        <v>2442</v>
      </c>
      <c r="B46" s="259"/>
      <c r="C46" s="277"/>
      <c r="D46" s="269"/>
      <c r="E46" s="269"/>
      <c r="F46" s="269"/>
      <c r="G46" s="271"/>
      <c r="H46" s="271"/>
      <c r="I46" s="260"/>
    </row>
    <row r="47" spans="1:9" ht="15.75" x14ac:dyDescent="0.25">
      <c r="A47" s="260"/>
      <c r="B47" s="277" t="s">
        <v>2445</v>
      </c>
      <c r="C47" s="261" t="s">
        <v>2446</v>
      </c>
      <c r="D47" s="269">
        <f>SUM(F47:F47)</f>
        <v>5000</v>
      </c>
      <c r="E47" s="269">
        <f t="shared" ref="E47:E52" si="3">D47-ROUND(D47/1.15,0)</f>
        <v>652</v>
      </c>
      <c r="F47" s="269">
        <v>5000</v>
      </c>
      <c r="G47" s="271"/>
      <c r="H47" s="271"/>
      <c r="I47" s="260"/>
    </row>
    <row r="48" spans="1:9" ht="15.75" x14ac:dyDescent="0.25">
      <c r="A48" s="260" t="s">
        <v>2451</v>
      </c>
      <c r="B48" s="277" t="s">
        <v>2452</v>
      </c>
      <c r="C48" s="277" t="s">
        <v>2453</v>
      </c>
      <c r="D48" s="269">
        <f>SUM(F48:F48)</f>
        <v>5000</v>
      </c>
      <c r="E48" s="269">
        <f t="shared" si="3"/>
        <v>652</v>
      </c>
      <c r="F48" s="253">
        <v>5000</v>
      </c>
      <c r="G48" s="271"/>
      <c r="H48" s="271"/>
      <c r="I48" s="260"/>
    </row>
    <row r="49" spans="1:9" ht="15.75" x14ac:dyDescent="0.25">
      <c r="A49" s="260" t="s">
        <v>2451</v>
      </c>
      <c r="B49" s="277" t="s">
        <v>2452</v>
      </c>
      <c r="C49" s="277" t="s">
        <v>2454</v>
      </c>
      <c r="D49" s="269">
        <f>SUM(F49:F49)</f>
        <v>5000</v>
      </c>
      <c r="E49" s="269">
        <f t="shared" si="3"/>
        <v>652</v>
      </c>
      <c r="F49" s="253">
        <v>5000</v>
      </c>
      <c r="G49" s="271"/>
      <c r="H49" s="271"/>
      <c r="I49" s="260" t="s">
        <v>2455</v>
      </c>
    </row>
    <row r="50" spans="1:9" ht="15.75" x14ac:dyDescent="0.25">
      <c r="A50" s="260"/>
      <c r="B50" s="277" t="s">
        <v>2449</v>
      </c>
      <c r="C50" s="261" t="s">
        <v>2456</v>
      </c>
      <c r="D50" s="269">
        <f>SUM(F50:F50)</f>
        <v>30000</v>
      </c>
      <c r="E50" s="269">
        <f t="shared" si="3"/>
        <v>3913</v>
      </c>
      <c r="F50" s="269">
        <v>30000</v>
      </c>
      <c r="G50" s="271"/>
      <c r="H50" s="271"/>
      <c r="I50" s="260"/>
    </row>
    <row r="51" spans="1:9" ht="15.75" x14ac:dyDescent="0.25">
      <c r="A51" s="260" t="s">
        <v>2451</v>
      </c>
      <c r="B51" s="277" t="s">
        <v>2452</v>
      </c>
      <c r="C51" s="261" t="s">
        <v>2457</v>
      </c>
      <c r="D51" s="269">
        <f>SUM(F51:F51)</f>
        <v>10000</v>
      </c>
      <c r="E51" s="269">
        <f t="shared" si="3"/>
        <v>1304</v>
      </c>
      <c r="F51" s="253">
        <v>10000</v>
      </c>
      <c r="G51" s="271">
        <v>10000</v>
      </c>
      <c r="H51" s="271"/>
      <c r="I51" s="260" t="s">
        <v>2458</v>
      </c>
    </row>
    <row r="52" spans="1:9" s="154" customFormat="1" ht="15.75" x14ac:dyDescent="0.25">
      <c r="A52" s="255"/>
      <c r="B52" s="323">
        <f>SUM(F52:F52)</f>
        <v>55000</v>
      </c>
      <c r="C52" s="324" t="s">
        <v>2459</v>
      </c>
      <c r="D52" s="253">
        <f>SUM(D47:D51)</f>
        <v>55000</v>
      </c>
      <c r="E52" s="253">
        <f t="shared" si="3"/>
        <v>7174</v>
      </c>
      <c r="F52" s="253">
        <f>SUM(F47:F51)</f>
        <v>55000</v>
      </c>
      <c r="G52" s="253">
        <f>SUM(G47:G51)</f>
        <v>10000</v>
      </c>
      <c r="H52" s="253">
        <f>SUM(H47:H51)</f>
        <v>0</v>
      </c>
      <c r="I52" s="270">
        <f>F52-G52</f>
        <v>45000</v>
      </c>
    </row>
    <row r="53" spans="1:9" ht="15.75" x14ac:dyDescent="0.25">
      <c r="A53" s="260"/>
      <c r="B53" s="277"/>
      <c r="C53" s="261"/>
      <c r="D53" s="268"/>
      <c r="E53" s="268"/>
      <c r="F53" s="269"/>
      <c r="G53" s="271"/>
      <c r="H53" s="271"/>
      <c r="I53" s="260"/>
    </row>
    <row r="54" spans="1:9" ht="15.75" x14ac:dyDescent="0.25">
      <c r="A54" s="260"/>
      <c r="B54" s="277" t="s">
        <v>2460</v>
      </c>
      <c r="C54" s="261" t="s">
        <v>2461</v>
      </c>
      <c r="D54" s="269">
        <f>SUM(F54:F54)</f>
        <v>1000</v>
      </c>
      <c r="E54" s="269">
        <f t="shared" ref="E54:E59" si="4">D54-ROUND(D54/1.15,0)</f>
        <v>130</v>
      </c>
      <c r="F54" s="253">
        <v>1000</v>
      </c>
      <c r="G54" s="271"/>
      <c r="H54" s="271"/>
      <c r="I54" s="260"/>
    </row>
    <row r="55" spans="1:9" ht="15.75" x14ac:dyDescent="0.25">
      <c r="A55" s="260"/>
      <c r="B55" s="277" t="s">
        <v>2462</v>
      </c>
      <c r="C55" s="277" t="s">
        <v>2463</v>
      </c>
      <c r="D55" s="269">
        <f>SUM(F55:F55)</f>
        <v>5000</v>
      </c>
      <c r="E55" s="269">
        <f t="shared" si="4"/>
        <v>652</v>
      </c>
      <c r="F55" s="253">
        <v>5000</v>
      </c>
      <c r="G55" s="271"/>
      <c r="H55" s="271"/>
      <c r="I55" s="260"/>
    </row>
    <row r="56" spans="1:9" ht="15.75" x14ac:dyDescent="0.25">
      <c r="A56" s="260"/>
      <c r="B56" s="277" t="s">
        <v>2464</v>
      </c>
      <c r="C56" s="261" t="s">
        <v>2465</v>
      </c>
      <c r="D56" s="269">
        <f>SUM(F56:F56)</f>
        <v>2000</v>
      </c>
      <c r="E56" s="269">
        <f t="shared" si="4"/>
        <v>261</v>
      </c>
      <c r="F56" s="269">
        <v>2000</v>
      </c>
      <c r="G56" s="271"/>
      <c r="H56" s="271"/>
      <c r="I56" s="260"/>
    </row>
    <row r="57" spans="1:9" ht="15.75" x14ac:dyDescent="0.25">
      <c r="A57" s="260"/>
      <c r="B57" s="261" t="s">
        <v>2464</v>
      </c>
      <c r="C57" s="261" t="s">
        <v>2466</v>
      </c>
      <c r="D57" s="269">
        <f>SUM(F57:F57)</f>
        <v>10000</v>
      </c>
      <c r="E57" s="269">
        <f t="shared" si="4"/>
        <v>1304</v>
      </c>
      <c r="F57" s="253">
        <v>10000</v>
      </c>
      <c r="G57" s="271">
        <v>10000</v>
      </c>
      <c r="H57" s="271"/>
      <c r="I57" s="260" t="s">
        <v>2458</v>
      </c>
    </row>
    <row r="58" spans="1:9" ht="15.75" x14ac:dyDescent="0.25">
      <c r="A58" s="260"/>
      <c r="B58" s="277" t="s">
        <v>2469</v>
      </c>
      <c r="C58" s="261" t="s">
        <v>2470</v>
      </c>
      <c r="D58" s="269">
        <f>SUM(F58:F58)</f>
        <v>30000</v>
      </c>
      <c r="E58" s="269">
        <f t="shared" si="4"/>
        <v>3913</v>
      </c>
      <c r="F58" s="269">
        <v>30000</v>
      </c>
      <c r="G58" s="271"/>
      <c r="H58" s="271"/>
      <c r="I58" s="260"/>
    </row>
    <row r="59" spans="1:9" s="154" customFormat="1" ht="15.75" x14ac:dyDescent="0.25">
      <c r="A59" s="325"/>
      <c r="B59" s="323">
        <f>SUM(F59:F59)</f>
        <v>48000</v>
      </c>
      <c r="C59" s="326" t="s">
        <v>2472</v>
      </c>
      <c r="D59" s="327">
        <f>SUM(D54:D58)</f>
        <v>48000</v>
      </c>
      <c r="E59" s="327">
        <f t="shared" si="4"/>
        <v>6261</v>
      </c>
      <c r="F59" s="327">
        <f>SUM(F54:F58)</f>
        <v>48000</v>
      </c>
      <c r="G59" s="327">
        <f>SUM(G54:G58)</f>
        <v>10000</v>
      </c>
      <c r="H59" s="328"/>
      <c r="I59" s="330">
        <f>F59-G59</f>
        <v>38000</v>
      </c>
    </row>
    <row r="60" spans="1:9" ht="16.5" thickBot="1" x14ac:dyDescent="0.3">
      <c r="A60" s="320"/>
      <c r="D60" s="316"/>
      <c r="E60" s="316"/>
      <c r="F60" s="318"/>
      <c r="G60" s="316"/>
      <c r="H60" s="316"/>
      <c r="I60" s="320"/>
    </row>
    <row r="61" spans="1:9" ht="16.5" thickBot="1" x14ac:dyDescent="0.3">
      <c r="A61" s="310" t="s">
        <v>2473</v>
      </c>
      <c r="B61" s="311"/>
      <c r="C61" s="311"/>
      <c r="D61" s="312">
        <f>D44+D52+D59</f>
        <v>325500</v>
      </c>
      <c r="E61" s="312">
        <f>E44+E52+E59</f>
        <v>42454</v>
      </c>
      <c r="F61" s="312">
        <f>F44+F52+F59</f>
        <v>325500</v>
      </c>
      <c r="G61" s="312">
        <f>G44+G52+G59</f>
        <v>128500</v>
      </c>
      <c r="H61" s="312">
        <f>H44+H52+H59</f>
        <v>0</v>
      </c>
      <c r="I61" s="312">
        <f>F61-G61</f>
        <v>197000</v>
      </c>
    </row>
    <row r="62" spans="1:9" ht="15.75" x14ac:dyDescent="0.25">
      <c r="A62" s="320"/>
      <c r="D62" s="316"/>
      <c r="E62" s="316"/>
      <c r="F62" s="318"/>
      <c r="G62" s="316"/>
      <c r="H62" s="316"/>
      <c r="I62" s="320"/>
    </row>
    <row r="63" spans="1:9" ht="15.75" x14ac:dyDescent="0.25">
      <c r="A63" s="320"/>
      <c r="D63" s="316"/>
      <c r="E63" s="316"/>
      <c r="F63" s="318"/>
      <c r="G63" s="316"/>
      <c r="H63" s="316"/>
      <c r="I63" s="320"/>
    </row>
    <row r="64" spans="1:9" ht="15.75" x14ac:dyDescent="0.25">
      <c r="A64" s="320"/>
      <c r="D64" s="316"/>
      <c r="E64" s="316"/>
      <c r="F64" s="318"/>
      <c r="G64" s="316"/>
      <c r="H64" s="316"/>
      <c r="I64" s="320"/>
    </row>
    <row r="65" spans="1:9" ht="15.75" x14ac:dyDescent="0.25">
      <c r="A65" s="320"/>
      <c r="D65" s="316"/>
      <c r="E65" s="316"/>
      <c r="F65" s="318"/>
      <c r="G65" s="316"/>
      <c r="H65" s="316"/>
      <c r="I65" s="320"/>
    </row>
    <row r="66" spans="1:9" ht="15.75" x14ac:dyDescent="0.25">
      <c r="A66" s="320"/>
      <c r="D66" s="316"/>
      <c r="E66" s="316"/>
      <c r="F66" s="318"/>
      <c r="G66" s="316"/>
      <c r="H66" s="316"/>
      <c r="I66" s="320"/>
    </row>
    <row r="67" spans="1:9" ht="15.75" x14ac:dyDescent="0.25">
      <c r="A67" s="320"/>
      <c r="D67" s="316"/>
      <c r="E67" s="316"/>
      <c r="F67" s="318"/>
      <c r="G67" s="316"/>
      <c r="H67" s="316"/>
      <c r="I67" s="320"/>
    </row>
    <row r="68" spans="1:9" ht="15.75" x14ac:dyDescent="0.25">
      <c r="A68" s="320"/>
      <c r="D68" s="316"/>
      <c r="E68" s="316"/>
      <c r="F68" s="318"/>
      <c r="G68" s="316"/>
      <c r="H68" s="316"/>
      <c r="I68" s="320"/>
    </row>
    <row r="69" spans="1:9" ht="15.75" x14ac:dyDescent="0.25">
      <c r="A69" s="320"/>
      <c r="D69" s="316"/>
      <c r="E69" s="316"/>
      <c r="F69" s="318"/>
      <c r="G69" s="316"/>
      <c r="H69" s="316"/>
      <c r="I69" s="320"/>
    </row>
    <row r="70" spans="1:9" ht="15.75" x14ac:dyDescent="0.25">
      <c r="A70" s="320"/>
      <c r="D70" s="316"/>
      <c r="E70" s="316"/>
      <c r="F70" s="318"/>
      <c r="G70" s="316"/>
      <c r="H70" s="316"/>
      <c r="I70" s="320"/>
    </row>
    <row r="71" spans="1:9" ht="15.75" x14ac:dyDescent="0.25">
      <c r="A71" t="s">
        <v>2474</v>
      </c>
      <c r="D71" s="316"/>
      <c r="E71" s="316"/>
      <c r="F71" s="318"/>
      <c r="G71" s="316"/>
      <c r="H71" s="316"/>
      <c r="I71" s="320"/>
    </row>
    <row r="72" spans="1:9" ht="15.75" x14ac:dyDescent="0.25">
      <c r="B72" t="s">
        <v>2475</v>
      </c>
      <c r="C72" t="s">
        <v>2476</v>
      </c>
      <c r="D72" s="316"/>
      <c r="E72" s="316"/>
      <c r="F72" s="318"/>
      <c r="G72" s="316"/>
      <c r="H72" s="316"/>
      <c r="I72" s="320"/>
    </row>
    <row r="73" spans="1:9" ht="15.75" x14ac:dyDescent="0.25">
      <c r="B73" t="s">
        <v>2475</v>
      </c>
      <c r="C73" t="s">
        <v>2477</v>
      </c>
      <c r="D73" s="316"/>
      <c r="E73" s="316"/>
      <c r="F73" s="318"/>
      <c r="G73" s="316"/>
      <c r="H73" s="316"/>
      <c r="I73" s="320"/>
    </row>
    <row r="74" spans="1:9" x14ac:dyDescent="0.25">
      <c r="A74" t="s">
        <v>2478</v>
      </c>
      <c r="F74" s="329"/>
    </row>
    <row r="75" spans="1:9" x14ac:dyDescent="0.25">
      <c r="C75" t="s">
        <v>2479</v>
      </c>
      <c r="F75" s="329"/>
    </row>
    <row r="76" spans="1:9" x14ac:dyDescent="0.25">
      <c r="C76" t="s">
        <v>2480</v>
      </c>
      <c r="F76" s="329"/>
    </row>
    <row r="77" spans="1:9" x14ac:dyDescent="0.25">
      <c r="C77" t="s">
        <v>2481</v>
      </c>
      <c r="F77" s="329"/>
    </row>
    <row r="78" spans="1:9" x14ac:dyDescent="0.25">
      <c r="C78" t="s">
        <v>2482</v>
      </c>
      <c r="F78" s="329"/>
    </row>
    <row r="79" spans="1:9" x14ac:dyDescent="0.25">
      <c r="C79" t="s">
        <v>2483</v>
      </c>
      <c r="F79" s="329"/>
    </row>
    <row r="80" spans="1:9" x14ac:dyDescent="0.25">
      <c r="C80" t="s">
        <v>2484</v>
      </c>
    </row>
  </sheetData>
  <pageMargins left="0.70866141732283472" right="0.70866141732283472" top="0.74803149606299213" bottom="0.74803149606299213" header="0.31496062992125984" footer="0.31496062992125984"/>
  <pageSetup paperSize="5" scale="87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8B49-834F-4E51-AECC-E34C968CAF72}">
  <dimension ref="A1:D251"/>
  <sheetViews>
    <sheetView showGridLines="0" workbookViewId="0">
      <pane ySplit="5" topLeftCell="A180" activePane="bottomLeft" state="frozenSplit"/>
      <selection pane="bottomLeft" activeCell="C192" sqref="C192"/>
    </sheetView>
  </sheetViews>
  <sheetFormatPr defaultRowHeight="15" x14ac:dyDescent="0.25"/>
  <cols>
    <col min="1" max="1" width="18" bestFit="1" customWidth="1"/>
    <col min="2" max="2" width="50.140625" bestFit="1" customWidth="1"/>
    <col min="3" max="4" width="16.5703125" bestFit="1" customWidth="1"/>
  </cols>
  <sheetData>
    <row r="1" spans="1:4" ht="23.25" x14ac:dyDescent="0.35">
      <c r="A1" s="27" t="s">
        <v>1505</v>
      </c>
      <c r="B1" s="27"/>
      <c r="C1" s="27"/>
      <c r="D1" s="27"/>
    </row>
    <row r="2" spans="1:4" ht="15.75" x14ac:dyDescent="0.25">
      <c r="A2" s="11" t="s">
        <v>2085</v>
      </c>
      <c r="B2" s="11"/>
      <c r="C2" s="11"/>
      <c r="D2" s="11"/>
    </row>
    <row r="3" spans="1:4" ht="15.75" x14ac:dyDescent="0.25">
      <c r="A3" s="11" t="s">
        <v>521</v>
      </c>
      <c r="B3" s="11"/>
      <c r="C3" s="11"/>
      <c r="D3" s="11"/>
    </row>
    <row r="4" spans="1:4" ht="15.75" x14ac:dyDescent="0.25">
      <c r="A4" s="13"/>
      <c r="B4" s="13"/>
      <c r="C4" s="14" t="s">
        <v>521</v>
      </c>
    </row>
    <row r="5" spans="1:4" ht="15.75" x14ac:dyDescent="0.25">
      <c r="A5" s="15" t="s">
        <v>522</v>
      </c>
      <c r="B5" s="16" t="s">
        <v>523</v>
      </c>
      <c r="C5" s="15" t="s">
        <v>524</v>
      </c>
      <c r="D5" s="15" t="s">
        <v>525</v>
      </c>
    </row>
    <row r="6" spans="1:4" ht="15.75" x14ac:dyDescent="0.25">
      <c r="A6" s="17" t="s">
        <v>526</v>
      </c>
      <c r="B6" s="18" t="s">
        <v>1506</v>
      </c>
      <c r="C6" s="19">
        <v>80969.259999999995</v>
      </c>
      <c r="D6" s="19">
        <v>0</v>
      </c>
    </row>
    <row r="7" spans="1:4" ht="15.75" x14ac:dyDescent="0.25">
      <c r="A7" s="17" t="s">
        <v>1507</v>
      </c>
      <c r="B7" s="18" t="s">
        <v>1508</v>
      </c>
      <c r="C7" s="19">
        <v>0</v>
      </c>
      <c r="D7" s="19">
        <v>0</v>
      </c>
    </row>
    <row r="8" spans="1:4" ht="15.75" x14ac:dyDescent="0.25">
      <c r="A8" s="17" t="s">
        <v>1509</v>
      </c>
      <c r="B8" s="18" t="s">
        <v>1510</v>
      </c>
      <c r="C8" s="19">
        <v>0</v>
      </c>
      <c r="D8" s="19">
        <v>0</v>
      </c>
    </row>
    <row r="9" spans="1:4" ht="15.75" x14ac:dyDescent="0.25">
      <c r="A9" s="17" t="s">
        <v>994</v>
      </c>
      <c r="B9" s="18" t="s">
        <v>995</v>
      </c>
      <c r="C9" s="19">
        <v>0</v>
      </c>
      <c r="D9" s="19">
        <v>0</v>
      </c>
    </row>
    <row r="10" spans="1:4" ht="15.75" x14ac:dyDescent="0.25">
      <c r="A10" s="17" t="s">
        <v>638</v>
      </c>
      <c r="B10" s="18" t="s">
        <v>1511</v>
      </c>
      <c r="C10" s="19">
        <v>0</v>
      </c>
      <c r="D10" s="19">
        <v>0</v>
      </c>
    </row>
    <row r="11" spans="1:4" ht="15.75" x14ac:dyDescent="0.25">
      <c r="A11" s="17" t="s">
        <v>532</v>
      </c>
      <c r="B11" s="18" t="s">
        <v>643</v>
      </c>
      <c r="C11" s="19">
        <v>43183.07</v>
      </c>
      <c r="D11" s="19">
        <v>0</v>
      </c>
    </row>
    <row r="12" spans="1:4" ht="15.75" x14ac:dyDescent="0.25">
      <c r="A12" s="17" t="s">
        <v>644</v>
      </c>
      <c r="B12" s="18" t="s">
        <v>1512</v>
      </c>
      <c r="C12" s="19">
        <v>0</v>
      </c>
      <c r="D12" s="19">
        <v>0</v>
      </c>
    </row>
    <row r="13" spans="1:4" ht="15.75" x14ac:dyDescent="0.25">
      <c r="A13" s="17" t="s">
        <v>534</v>
      </c>
      <c r="B13" s="18" t="s">
        <v>1513</v>
      </c>
      <c r="C13" s="19">
        <v>0</v>
      </c>
      <c r="D13" s="19">
        <v>0</v>
      </c>
    </row>
    <row r="14" spans="1:4" ht="15.75" x14ac:dyDescent="0.25">
      <c r="A14" s="17" t="s">
        <v>1514</v>
      </c>
      <c r="B14" s="18" t="s">
        <v>1515</v>
      </c>
      <c r="C14" s="19">
        <v>0</v>
      </c>
      <c r="D14" s="19">
        <v>0</v>
      </c>
    </row>
    <row r="15" spans="1:4" ht="15.75" x14ac:dyDescent="0.25">
      <c r="A15" s="17" t="s">
        <v>999</v>
      </c>
      <c r="B15" s="18" t="s">
        <v>1516</v>
      </c>
      <c r="C15" s="19">
        <v>0</v>
      </c>
      <c r="D15" s="19">
        <v>7822.54</v>
      </c>
    </row>
    <row r="16" spans="1:4" ht="15.75" x14ac:dyDescent="0.25">
      <c r="A16" s="17" t="s">
        <v>1001</v>
      </c>
      <c r="B16" s="18" t="s">
        <v>1517</v>
      </c>
      <c r="C16" s="19">
        <v>0</v>
      </c>
      <c r="D16" s="19">
        <v>0</v>
      </c>
    </row>
    <row r="17" spans="1:4" ht="15.75" x14ac:dyDescent="0.25">
      <c r="A17" s="17" t="s">
        <v>536</v>
      </c>
      <c r="B17" s="18" t="s">
        <v>537</v>
      </c>
      <c r="C17" s="19">
        <v>1380.27</v>
      </c>
      <c r="D17" s="19">
        <v>0</v>
      </c>
    </row>
    <row r="18" spans="1:4" ht="15.75" x14ac:dyDescent="0.25">
      <c r="A18" s="17" t="s">
        <v>648</v>
      </c>
      <c r="B18" s="18" t="s">
        <v>1518</v>
      </c>
      <c r="C18" s="19">
        <v>0</v>
      </c>
      <c r="D18" s="19">
        <v>376312.21</v>
      </c>
    </row>
    <row r="19" spans="1:4" ht="15.75" x14ac:dyDescent="0.25">
      <c r="A19" s="17" t="s">
        <v>1519</v>
      </c>
      <c r="B19" s="18" t="s">
        <v>1520</v>
      </c>
      <c r="C19" s="19">
        <v>0</v>
      </c>
      <c r="D19" s="19">
        <v>0</v>
      </c>
    </row>
    <row r="20" spans="1:4" ht="15.75" x14ac:dyDescent="0.25">
      <c r="A20" s="17" t="s">
        <v>1521</v>
      </c>
      <c r="B20" s="18" t="s">
        <v>1522</v>
      </c>
      <c r="C20" s="19">
        <v>0</v>
      </c>
      <c r="D20" s="19">
        <v>8263.5</v>
      </c>
    </row>
    <row r="21" spans="1:4" ht="15.75" x14ac:dyDescent="0.25">
      <c r="A21" s="17" t="s">
        <v>544</v>
      </c>
      <c r="B21" s="18" t="s">
        <v>1523</v>
      </c>
      <c r="C21" s="19">
        <v>1107351.29</v>
      </c>
      <c r="D21" s="19">
        <v>0</v>
      </c>
    </row>
    <row r="22" spans="1:4" ht="15.75" x14ac:dyDescent="0.25">
      <c r="A22" s="17" t="s">
        <v>650</v>
      </c>
      <c r="B22" s="18" t="s">
        <v>1524</v>
      </c>
      <c r="C22" s="19">
        <v>0</v>
      </c>
      <c r="D22" s="19">
        <v>0</v>
      </c>
    </row>
    <row r="23" spans="1:4" ht="15.75" x14ac:dyDescent="0.25">
      <c r="A23" s="17" t="s">
        <v>1188</v>
      </c>
      <c r="B23" s="18" t="s">
        <v>1525</v>
      </c>
      <c r="C23" s="19">
        <v>1454.49</v>
      </c>
      <c r="D23" s="19">
        <v>0</v>
      </c>
    </row>
    <row r="24" spans="1:4" ht="15.75" x14ac:dyDescent="0.25">
      <c r="A24" s="17" t="s">
        <v>1526</v>
      </c>
      <c r="B24" s="18" t="s">
        <v>1527</v>
      </c>
      <c r="C24" s="19">
        <v>5332911.32</v>
      </c>
      <c r="D24" s="19">
        <v>0</v>
      </c>
    </row>
    <row r="25" spans="1:4" ht="15.75" x14ac:dyDescent="0.25">
      <c r="A25" s="17" t="s">
        <v>1528</v>
      </c>
      <c r="B25" s="18" t="s">
        <v>1529</v>
      </c>
      <c r="C25" s="19">
        <v>0</v>
      </c>
      <c r="D25" s="19">
        <v>1025208.68</v>
      </c>
    </row>
    <row r="26" spans="1:4" ht="15.75" x14ac:dyDescent="0.25">
      <c r="A26" s="17" t="s">
        <v>1530</v>
      </c>
      <c r="B26" s="18" t="s">
        <v>1531</v>
      </c>
      <c r="C26" s="19">
        <v>12200</v>
      </c>
      <c r="D26" s="19">
        <v>0</v>
      </c>
    </row>
    <row r="27" spans="1:4" ht="15.75" x14ac:dyDescent="0.25">
      <c r="A27" s="17" t="s">
        <v>1532</v>
      </c>
      <c r="B27" s="18" t="s">
        <v>1533</v>
      </c>
      <c r="C27" s="19">
        <v>0</v>
      </c>
      <c r="D27" s="19">
        <v>9203.2000000000007</v>
      </c>
    </row>
    <row r="28" spans="1:4" ht="15.75" x14ac:dyDescent="0.25">
      <c r="A28" s="17" t="s">
        <v>1534</v>
      </c>
      <c r="B28" s="18" t="s">
        <v>1535</v>
      </c>
      <c r="C28" s="19">
        <v>64187</v>
      </c>
      <c r="D28" s="19">
        <v>0</v>
      </c>
    </row>
    <row r="29" spans="1:4" ht="15.75" x14ac:dyDescent="0.25">
      <c r="A29" s="17" t="s">
        <v>1536</v>
      </c>
      <c r="B29" s="18" t="s">
        <v>1537</v>
      </c>
      <c r="C29" s="19">
        <v>0</v>
      </c>
      <c r="D29" s="19">
        <v>64187</v>
      </c>
    </row>
    <row r="30" spans="1:4" ht="15.75" x14ac:dyDescent="0.25">
      <c r="A30" s="17" t="s">
        <v>1538</v>
      </c>
      <c r="B30" s="18" t="s">
        <v>1539</v>
      </c>
      <c r="C30" s="19">
        <v>4647.8500000000004</v>
      </c>
      <c r="D30" s="19">
        <v>0</v>
      </c>
    </row>
    <row r="31" spans="1:4" ht="15.75" x14ac:dyDescent="0.25">
      <c r="A31" s="17" t="s">
        <v>1540</v>
      </c>
      <c r="B31" s="18" t="s">
        <v>1541</v>
      </c>
      <c r="C31" s="19">
        <v>0</v>
      </c>
      <c r="D31" s="19">
        <v>871.47</v>
      </c>
    </row>
    <row r="32" spans="1:4" ht="15.75" x14ac:dyDescent="0.25">
      <c r="A32" s="17" t="s">
        <v>1542</v>
      </c>
      <c r="B32" s="18" t="s">
        <v>1543</v>
      </c>
      <c r="C32" s="19">
        <v>17807.169999999998</v>
      </c>
      <c r="D32" s="19">
        <v>0</v>
      </c>
    </row>
    <row r="33" spans="1:4" ht="15.75" x14ac:dyDescent="0.25">
      <c r="A33" s="17" t="s">
        <v>1544</v>
      </c>
      <c r="B33" s="18" t="s">
        <v>1545</v>
      </c>
      <c r="C33" s="19">
        <v>0</v>
      </c>
      <c r="D33" s="19">
        <v>2973.41</v>
      </c>
    </row>
    <row r="34" spans="1:4" ht="15.75" x14ac:dyDescent="0.25">
      <c r="A34" s="17" t="s">
        <v>1546</v>
      </c>
      <c r="B34" s="18" t="s">
        <v>1547</v>
      </c>
      <c r="C34" s="19">
        <v>1500</v>
      </c>
      <c r="D34" s="19">
        <v>0</v>
      </c>
    </row>
    <row r="35" spans="1:4" ht="15.75" x14ac:dyDescent="0.25">
      <c r="A35" s="17" t="s">
        <v>1548</v>
      </c>
      <c r="B35" s="18" t="s">
        <v>1549</v>
      </c>
      <c r="C35" s="19">
        <v>0</v>
      </c>
      <c r="D35" s="19">
        <v>449.89</v>
      </c>
    </row>
    <row r="36" spans="1:4" ht="15.75" x14ac:dyDescent="0.25">
      <c r="A36" s="17" t="s">
        <v>1550</v>
      </c>
      <c r="B36" s="18" t="s">
        <v>1551</v>
      </c>
      <c r="C36" s="19">
        <v>40082.22</v>
      </c>
      <c r="D36" s="19">
        <v>0</v>
      </c>
    </row>
    <row r="37" spans="1:4" ht="15.75" x14ac:dyDescent="0.25">
      <c r="A37" s="17" t="s">
        <v>1552</v>
      </c>
      <c r="B37" s="18" t="s">
        <v>1553</v>
      </c>
      <c r="C37" s="19">
        <v>0</v>
      </c>
      <c r="D37" s="19">
        <v>31919.58</v>
      </c>
    </row>
    <row r="38" spans="1:4" ht="15.75" x14ac:dyDescent="0.25">
      <c r="A38" s="17" t="s">
        <v>1554</v>
      </c>
      <c r="B38" s="18" t="s">
        <v>1555</v>
      </c>
      <c r="C38" s="19">
        <v>711938.12</v>
      </c>
      <c r="D38" s="19">
        <v>0</v>
      </c>
    </row>
    <row r="39" spans="1:4" ht="15.75" x14ac:dyDescent="0.25">
      <c r="A39" s="17" t="s">
        <v>1556</v>
      </c>
      <c r="B39" s="18" t="s">
        <v>1557</v>
      </c>
      <c r="C39" s="19">
        <v>0</v>
      </c>
      <c r="D39" s="19">
        <v>220348.96</v>
      </c>
    </row>
    <row r="40" spans="1:4" ht="15.75" x14ac:dyDescent="0.25">
      <c r="A40" s="17" t="s">
        <v>1558</v>
      </c>
      <c r="B40" s="18" t="s">
        <v>1559</v>
      </c>
      <c r="C40" s="19">
        <v>25277.4</v>
      </c>
      <c r="D40" s="19">
        <v>0</v>
      </c>
    </row>
    <row r="41" spans="1:4" ht="15.75" x14ac:dyDescent="0.25">
      <c r="A41" s="17" t="s">
        <v>1560</v>
      </c>
      <c r="B41" s="18" t="s">
        <v>1561</v>
      </c>
      <c r="C41" s="19">
        <v>8703.98</v>
      </c>
      <c r="D41" s="19">
        <v>0</v>
      </c>
    </row>
    <row r="42" spans="1:4" ht="15.75" x14ac:dyDescent="0.25">
      <c r="A42" s="17" t="s">
        <v>1562</v>
      </c>
      <c r="B42" s="18" t="s">
        <v>1563</v>
      </c>
      <c r="C42" s="19">
        <v>90634.94</v>
      </c>
      <c r="D42" s="19">
        <v>0</v>
      </c>
    </row>
    <row r="43" spans="1:4" ht="15.75" x14ac:dyDescent="0.25">
      <c r="A43" s="17" t="s">
        <v>1564</v>
      </c>
      <c r="B43" s="18" t="s">
        <v>1565</v>
      </c>
      <c r="C43" s="19">
        <v>0</v>
      </c>
      <c r="D43" s="19">
        <v>27274.07</v>
      </c>
    </row>
    <row r="44" spans="1:4" ht="15.75" x14ac:dyDescent="0.25">
      <c r="A44" s="17" t="s">
        <v>1566</v>
      </c>
      <c r="B44" s="18" t="s">
        <v>1567</v>
      </c>
      <c r="C44" s="19">
        <v>1562713.87</v>
      </c>
      <c r="D44" s="19">
        <v>0</v>
      </c>
    </row>
    <row r="45" spans="1:4" ht="15.75" x14ac:dyDescent="0.25">
      <c r="A45" s="17" t="s">
        <v>1568</v>
      </c>
      <c r="B45" s="18" t="s">
        <v>1569</v>
      </c>
      <c r="C45" s="19">
        <v>0</v>
      </c>
      <c r="D45" s="19">
        <v>458448.61</v>
      </c>
    </row>
    <row r="46" spans="1:4" ht="15.75" x14ac:dyDescent="0.25">
      <c r="A46" s="17" t="s">
        <v>1570</v>
      </c>
      <c r="B46" s="18" t="s">
        <v>1571</v>
      </c>
      <c r="C46" s="19">
        <v>263980.33</v>
      </c>
      <c r="D46" s="19">
        <v>0</v>
      </c>
    </row>
    <row r="47" spans="1:4" ht="15.75" x14ac:dyDescent="0.25">
      <c r="A47" s="17" t="s">
        <v>1572</v>
      </c>
      <c r="B47" s="18" t="s">
        <v>1573</v>
      </c>
      <c r="C47" s="19">
        <v>0</v>
      </c>
      <c r="D47" s="19">
        <v>236914.57</v>
      </c>
    </row>
    <row r="48" spans="1:4" ht="15.75" x14ac:dyDescent="0.25">
      <c r="A48" s="17" t="s">
        <v>1574</v>
      </c>
      <c r="B48" s="18" t="s">
        <v>1575</v>
      </c>
      <c r="C48" s="19">
        <v>16668.310000000001</v>
      </c>
      <c r="D48" s="19">
        <v>0</v>
      </c>
    </row>
    <row r="49" spans="1:4" ht="15.75" x14ac:dyDescent="0.25">
      <c r="A49" s="17" t="s">
        <v>1576</v>
      </c>
      <c r="B49" s="18" t="s">
        <v>1577</v>
      </c>
      <c r="C49" s="19">
        <v>0</v>
      </c>
      <c r="D49" s="19">
        <v>4914.1400000000003</v>
      </c>
    </row>
    <row r="50" spans="1:4" ht="15.75" x14ac:dyDescent="0.25">
      <c r="A50" s="17" t="s">
        <v>1578</v>
      </c>
      <c r="B50" s="18" t="s">
        <v>1579</v>
      </c>
      <c r="C50" s="19">
        <v>23112.41</v>
      </c>
      <c r="D50" s="19">
        <v>0</v>
      </c>
    </row>
    <row r="51" spans="1:4" ht="15.75" x14ac:dyDescent="0.25">
      <c r="A51" s="17" t="s">
        <v>1580</v>
      </c>
      <c r="B51" s="18" t="s">
        <v>1581</v>
      </c>
      <c r="C51" s="19">
        <v>0</v>
      </c>
      <c r="D51" s="19">
        <v>20659.099999999999</v>
      </c>
    </row>
    <row r="52" spans="1:4" ht="15.75" x14ac:dyDescent="0.25">
      <c r="A52" s="17" t="s">
        <v>1582</v>
      </c>
      <c r="B52" s="18" t="s">
        <v>1583</v>
      </c>
      <c r="C52" s="19">
        <v>1136299.8400000001</v>
      </c>
      <c r="D52" s="19">
        <v>0</v>
      </c>
    </row>
    <row r="53" spans="1:4" ht="15.75" x14ac:dyDescent="0.25">
      <c r="A53" s="17" t="s">
        <v>1584</v>
      </c>
      <c r="B53" s="18" t="s">
        <v>1585</v>
      </c>
      <c r="C53" s="19">
        <v>0</v>
      </c>
      <c r="D53" s="19">
        <v>191583.16</v>
      </c>
    </row>
    <row r="54" spans="1:4" ht="15.75" x14ac:dyDescent="0.25">
      <c r="A54" s="17" t="s">
        <v>1586</v>
      </c>
      <c r="B54" s="18" t="s">
        <v>1587</v>
      </c>
      <c r="C54" s="19">
        <v>0</v>
      </c>
      <c r="D54" s="19">
        <v>0</v>
      </c>
    </row>
    <row r="55" spans="1:4" ht="15.75" x14ac:dyDescent="0.25">
      <c r="A55" s="17" t="s">
        <v>1588</v>
      </c>
      <c r="B55" s="18" t="s">
        <v>1589</v>
      </c>
      <c r="C55" s="19">
        <v>1500</v>
      </c>
      <c r="D55" s="19">
        <v>0</v>
      </c>
    </row>
    <row r="56" spans="1:4" ht="15.75" x14ac:dyDescent="0.25">
      <c r="A56" s="17" t="s">
        <v>1590</v>
      </c>
      <c r="B56" s="18" t="s">
        <v>1591</v>
      </c>
      <c r="C56" s="19">
        <v>0</v>
      </c>
      <c r="D56" s="19">
        <v>450</v>
      </c>
    </row>
    <row r="57" spans="1:4" ht="15.75" x14ac:dyDescent="0.25">
      <c r="A57" s="17" t="s">
        <v>1592</v>
      </c>
      <c r="B57" s="18" t="s">
        <v>1593</v>
      </c>
      <c r="C57" s="19">
        <v>0</v>
      </c>
      <c r="D57" s="19">
        <v>0</v>
      </c>
    </row>
    <row r="58" spans="1:4" ht="15.75" x14ac:dyDescent="0.25">
      <c r="A58" s="17" t="s">
        <v>1594</v>
      </c>
      <c r="B58" s="18" t="s">
        <v>549</v>
      </c>
      <c r="C58" s="19">
        <v>0</v>
      </c>
      <c r="D58" s="19">
        <v>13966.8</v>
      </c>
    </row>
    <row r="59" spans="1:4" ht="15.75" x14ac:dyDescent="0.25">
      <c r="A59" s="17" t="s">
        <v>1595</v>
      </c>
      <c r="B59" s="18" t="s">
        <v>1596</v>
      </c>
      <c r="C59" s="19">
        <v>0</v>
      </c>
      <c r="D59" s="19">
        <v>247.5</v>
      </c>
    </row>
    <row r="60" spans="1:4" ht="15.75" x14ac:dyDescent="0.25">
      <c r="A60" s="17" t="s">
        <v>1597</v>
      </c>
      <c r="B60" s="18" t="s">
        <v>1598</v>
      </c>
      <c r="C60" s="19">
        <v>0</v>
      </c>
      <c r="D60" s="19">
        <v>0</v>
      </c>
    </row>
    <row r="61" spans="1:4" ht="15.75" x14ac:dyDescent="0.25">
      <c r="A61" s="17" t="s">
        <v>1599</v>
      </c>
      <c r="B61" s="18" t="s">
        <v>1600</v>
      </c>
      <c r="C61" s="19">
        <v>0</v>
      </c>
      <c r="D61" s="19">
        <v>0</v>
      </c>
    </row>
    <row r="62" spans="1:4" ht="15.75" x14ac:dyDescent="0.25">
      <c r="A62" s="17" t="s">
        <v>548</v>
      </c>
      <c r="B62" s="18" t="s">
        <v>1601</v>
      </c>
      <c r="C62" s="19">
        <v>0</v>
      </c>
      <c r="D62" s="19">
        <v>0</v>
      </c>
    </row>
    <row r="63" spans="1:4" ht="15.75" x14ac:dyDescent="0.25">
      <c r="A63" s="17" t="s">
        <v>709</v>
      </c>
      <c r="B63" s="18" t="s">
        <v>1602</v>
      </c>
      <c r="C63" s="19">
        <v>0</v>
      </c>
      <c r="D63" s="19">
        <v>1666.06</v>
      </c>
    </row>
    <row r="64" spans="1:4" ht="15.75" x14ac:dyDescent="0.25">
      <c r="A64" s="17" t="s">
        <v>715</v>
      </c>
      <c r="B64" s="18" t="s">
        <v>716</v>
      </c>
      <c r="C64" s="19">
        <v>0</v>
      </c>
      <c r="D64" s="19">
        <v>0</v>
      </c>
    </row>
    <row r="65" spans="1:4" ht="15.75" x14ac:dyDescent="0.25">
      <c r="A65" s="17" t="s">
        <v>1603</v>
      </c>
      <c r="B65" s="18" t="s">
        <v>1604</v>
      </c>
      <c r="C65" s="19">
        <v>0</v>
      </c>
      <c r="D65" s="19">
        <v>0</v>
      </c>
    </row>
    <row r="66" spans="1:4" ht="15.75" x14ac:dyDescent="0.25">
      <c r="A66" s="17" t="s">
        <v>1605</v>
      </c>
      <c r="B66" s="18" t="s">
        <v>1606</v>
      </c>
      <c r="C66" s="19">
        <v>0</v>
      </c>
      <c r="D66" s="19">
        <v>0</v>
      </c>
    </row>
    <row r="67" spans="1:4" ht="15.75" x14ac:dyDescent="0.25">
      <c r="A67" s="17" t="s">
        <v>1607</v>
      </c>
      <c r="B67" s="18" t="s">
        <v>1608</v>
      </c>
      <c r="C67" s="19">
        <v>0</v>
      </c>
      <c r="D67" s="19">
        <v>407155.4</v>
      </c>
    </row>
    <row r="68" spans="1:4" ht="15.75" x14ac:dyDescent="0.25">
      <c r="A68" s="17" t="s">
        <v>1609</v>
      </c>
      <c r="B68" s="18" t="s">
        <v>1610</v>
      </c>
      <c r="C68" s="19">
        <v>0</v>
      </c>
      <c r="D68" s="19">
        <v>0</v>
      </c>
    </row>
    <row r="69" spans="1:4" ht="15.75" x14ac:dyDescent="0.25">
      <c r="A69" s="17" t="s">
        <v>1611</v>
      </c>
      <c r="B69" s="18" t="s">
        <v>1612</v>
      </c>
      <c r="C69" s="19">
        <v>0</v>
      </c>
      <c r="D69" s="19">
        <v>0</v>
      </c>
    </row>
    <row r="70" spans="1:4" ht="15.75" x14ac:dyDescent="0.25">
      <c r="A70" s="17" t="s">
        <v>1613</v>
      </c>
      <c r="B70" s="18" t="s">
        <v>1614</v>
      </c>
      <c r="C70" s="19">
        <v>0</v>
      </c>
      <c r="D70" s="19">
        <v>65545.539999999994</v>
      </c>
    </row>
    <row r="71" spans="1:4" ht="15.75" x14ac:dyDescent="0.25">
      <c r="A71" s="17" t="s">
        <v>1615</v>
      </c>
      <c r="B71" s="18" t="s">
        <v>1616</v>
      </c>
      <c r="C71" s="19">
        <v>0</v>
      </c>
      <c r="D71" s="19">
        <v>0</v>
      </c>
    </row>
    <row r="72" spans="1:4" ht="15.75" x14ac:dyDescent="0.25">
      <c r="A72" s="17" t="s">
        <v>1617</v>
      </c>
      <c r="B72" s="18" t="s">
        <v>1618</v>
      </c>
      <c r="C72" s="19">
        <v>0</v>
      </c>
      <c r="D72" s="19">
        <v>0</v>
      </c>
    </row>
    <row r="73" spans="1:4" ht="15.75" x14ac:dyDescent="0.25">
      <c r="A73" s="17" t="s">
        <v>1619</v>
      </c>
      <c r="B73" s="18" t="s">
        <v>1620</v>
      </c>
      <c r="C73" s="19">
        <v>0</v>
      </c>
      <c r="D73" s="19">
        <v>284932.19</v>
      </c>
    </row>
    <row r="74" spans="1:4" ht="15.75" x14ac:dyDescent="0.25">
      <c r="A74" s="17" t="s">
        <v>1621</v>
      </c>
      <c r="B74" s="18" t="s">
        <v>1622</v>
      </c>
      <c r="C74" s="19">
        <v>0</v>
      </c>
      <c r="D74" s="19">
        <v>0</v>
      </c>
    </row>
    <row r="75" spans="1:4" ht="15.75" x14ac:dyDescent="0.25">
      <c r="A75" s="17" t="s">
        <v>1623</v>
      </c>
      <c r="B75" s="18" t="s">
        <v>1527</v>
      </c>
      <c r="C75" s="19">
        <v>0</v>
      </c>
      <c r="D75" s="19">
        <v>0</v>
      </c>
    </row>
    <row r="76" spans="1:4" ht="15.75" x14ac:dyDescent="0.25">
      <c r="A76" s="17" t="s">
        <v>1624</v>
      </c>
      <c r="B76" s="18" t="s">
        <v>1529</v>
      </c>
      <c r="C76" s="19">
        <v>0</v>
      </c>
      <c r="D76" s="19">
        <v>0</v>
      </c>
    </row>
    <row r="77" spans="1:4" ht="15.75" x14ac:dyDescent="0.25">
      <c r="A77" s="17" t="s">
        <v>1625</v>
      </c>
      <c r="B77" s="18" t="s">
        <v>1626</v>
      </c>
      <c r="C77" s="19">
        <v>0</v>
      </c>
      <c r="D77" s="19">
        <v>0</v>
      </c>
    </row>
    <row r="78" spans="1:4" ht="15.75" x14ac:dyDescent="0.25">
      <c r="A78" s="17" t="s">
        <v>1627</v>
      </c>
      <c r="B78" s="18" t="s">
        <v>1537</v>
      </c>
      <c r="C78" s="19">
        <v>0</v>
      </c>
      <c r="D78" s="19">
        <v>0</v>
      </c>
    </row>
    <row r="79" spans="1:4" ht="15.75" x14ac:dyDescent="0.25">
      <c r="A79" s="17" t="s">
        <v>1628</v>
      </c>
      <c r="B79" s="18" t="s">
        <v>1555</v>
      </c>
      <c r="C79" s="19">
        <v>0</v>
      </c>
      <c r="D79" s="19">
        <v>0</v>
      </c>
    </row>
    <row r="80" spans="1:4" ht="15.75" x14ac:dyDescent="0.25">
      <c r="A80" s="17" t="s">
        <v>1629</v>
      </c>
      <c r="B80" s="18" t="s">
        <v>1630</v>
      </c>
      <c r="C80" s="19">
        <v>0</v>
      </c>
      <c r="D80" s="19">
        <v>0</v>
      </c>
    </row>
    <row r="81" spans="1:4" ht="15.75" x14ac:dyDescent="0.25">
      <c r="A81" s="17" t="s">
        <v>1631</v>
      </c>
      <c r="B81" s="18" t="s">
        <v>1557</v>
      </c>
      <c r="C81" s="19">
        <v>0</v>
      </c>
      <c r="D81" s="19">
        <v>0</v>
      </c>
    </row>
    <row r="82" spans="1:4" ht="15.75" x14ac:dyDescent="0.25">
      <c r="A82" s="17" t="s">
        <v>1632</v>
      </c>
      <c r="B82" s="18" t="s">
        <v>1567</v>
      </c>
      <c r="C82" s="19">
        <v>0</v>
      </c>
      <c r="D82" s="19">
        <v>0</v>
      </c>
    </row>
    <row r="83" spans="1:4" ht="15.75" x14ac:dyDescent="0.25">
      <c r="A83" s="17" t="s">
        <v>1633</v>
      </c>
      <c r="B83" s="18" t="s">
        <v>1569</v>
      </c>
      <c r="C83" s="19">
        <v>0</v>
      </c>
      <c r="D83" s="19">
        <v>0</v>
      </c>
    </row>
    <row r="84" spans="1:4" ht="15.75" x14ac:dyDescent="0.25">
      <c r="A84" s="17" t="s">
        <v>1634</v>
      </c>
      <c r="B84" s="18" t="s">
        <v>1635</v>
      </c>
      <c r="C84" s="19">
        <v>0</v>
      </c>
      <c r="D84" s="19">
        <v>0</v>
      </c>
    </row>
    <row r="85" spans="1:4" ht="15.75" x14ac:dyDescent="0.25">
      <c r="A85" s="17" t="s">
        <v>1636</v>
      </c>
      <c r="B85" s="18" t="s">
        <v>1637</v>
      </c>
      <c r="C85" s="19">
        <v>0</v>
      </c>
      <c r="D85" s="19">
        <v>0</v>
      </c>
    </row>
    <row r="86" spans="1:4" ht="15.75" x14ac:dyDescent="0.25">
      <c r="A86" s="17" t="s">
        <v>1638</v>
      </c>
      <c r="B86" s="18" t="s">
        <v>1639</v>
      </c>
      <c r="C86" s="19">
        <v>0</v>
      </c>
      <c r="D86" s="19">
        <v>0</v>
      </c>
    </row>
    <row r="87" spans="1:4" ht="15.75" x14ac:dyDescent="0.25">
      <c r="A87" s="17" t="s">
        <v>1640</v>
      </c>
      <c r="B87" s="18" t="s">
        <v>1641</v>
      </c>
      <c r="C87" s="19">
        <v>0</v>
      </c>
      <c r="D87" s="19">
        <v>0</v>
      </c>
    </row>
    <row r="88" spans="1:4" ht="15.75" x14ac:dyDescent="0.25">
      <c r="A88" s="17" t="s">
        <v>1642</v>
      </c>
      <c r="B88" s="18" t="s">
        <v>1643</v>
      </c>
      <c r="C88" s="19">
        <v>0</v>
      </c>
      <c r="D88" s="19">
        <v>0</v>
      </c>
    </row>
    <row r="89" spans="1:4" ht="15.75" x14ac:dyDescent="0.25">
      <c r="A89" s="17" t="s">
        <v>1644</v>
      </c>
      <c r="B89" s="18" t="s">
        <v>1645</v>
      </c>
      <c r="C89" s="19">
        <v>0</v>
      </c>
      <c r="D89" s="19">
        <v>0</v>
      </c>
    </row>
    <row r="90" spans="1:4" ht="15.75" x14ac:dyDescent="0.25">
      <c r="A90" s="17" t="s">
        <v>1646</v>
      </c>
      <c r="B90" s="18" t="s">
        <v>1647</v>
      </c>
      <c r="C90" s="19">
        <v>0</v>
      </c>
      <c r="D90" s="19">
        <v>0</v>
      </c>
    </row>
    <row r="91" spans="1:4" ht="15.75" x14ac:dyDescent="0.25">
      <c r="A91" s="17" t="s">
        <v>1648</v>
      </c>
      <c r="B91" s="18" t="s">
        <v>1649</v>
      </c>
      <c r="C91" s="19">
        <v>0</v>
      </c>
      <c r="D91" s="19">
        <v>0</v>
      </c>
    </row>
    <row r="92" spans="1:4" ht="15.75" x14ac:dyDescent="0.25">
      <c r="A92" s="17" t="s">
        <v>1650</v>
      </c>
      <c r="B92" s="18" t="s">
        <v>1651</v>
      </c>
      <c r="C92" s="19">
        <v>0</v>
      </c>
      <c r="D92" s="19">
        <v>0</v>
      </c>
    </row>
    <row r="93" spans="1:4" ht="15.75" x14ac:dyDescent="0.25">
      <c r="A93" s="17" t="s">
        <v>1652</v>
      </c>
      <c r="B93" s="18" t="s">
        <v>1653</v>
      </c>
      <c r="C93" s="19">
        <v>0</v>
      </c>
      <c r="D93" s="19">
        <v>0</v>
      </c>
    </row>
    <row r="94" spans="1:4" ht="15.75" x14ac:dyDescent="0.25">
      <c r="A94" s="17" t="s">
        <v>1654</v>
      </c>
      <c r="B94" s="18" t="s">
        <v>1655</v>
      </c>
      <c r="C94" s="19">
        <v>0</v>
      </c>
      <c r="D94" s="19">
        <v>0</v>
      </c>
    </row>
    <row r="95" spans="1:4" ht="15.75" x14ac:dyDescent="0.25">
      <c r="A95" s="17" t="s">
        <v>1656</v>
      </c>
      <c r="B95" s="18" t="s">
        <v>1657</v>
      </c>
      <c r="C95" s="19">
        <v>0</v>
      </c>
      <c r="D95" s="19">
        <v>0</v>
      </c>
    </row>
    <row r="96" spans="1:4" ht="16.5" customHeight="1" x14ac:dyDescent="0.25">
      <c r="A96" s="17" t="s">
        <v>1658</v>
      </c>
      <c r="B96" s="18" t="s">
        <v>1659</v>
      </c>
      <c r="C96" s="19">
        <v>0</v>
      </c>
      <c r="D96" s="19">
        <v>1107351.0900000001</v>
      </c>
    </row>
    <row r="97" spans="1:4" ht="15.75" customHeight="1" x14ac:dyDescent="0.25">
      <c r="A97" s="17" t="s">
        <v>554</v>
      </c>
      <c r="B97" s="18" t="s">
        <v>555</v>
      </c>
      <c r="C97" s="19">
        <v>0</v>
      </c>
      <c r="D97" s="19">
        <v>487147.8</v>
      </c>
    </row>
    <row r="98" spans="1:4" ht="15" customHeight="1" x14ac:dyDescent="0.25">
      <c r="A98" s="17" t="s">
        <v>721</v>
      </c>
      <c r="B98" s="18" t="s">
        <v>722</v>
      </c>
      <c r="C98" s="19">
        <v>657683.43000000005</v>
      </c>
      <c r="D98" s="19">
        <v>0</v>
      </c>
    </row>
    <row r="99" spans="1:4" ht="15.75" customHeight="1" x14ac:dyDescent="0.25">
      <c r="A99" s="17" t="s">
        <v>723</v>
      </c>
      <c r="B99" s="18" t="s">
        <v>989</v>
      </c>
      <c r="C99" s="19">
        <v>0</v>
      </c>
      <c r="D99" s="19">
        <v>6301578.8399999999</v>
      </c>
    </row>
    <row r="100" spans="1:4" ht="15.75" customHeight="1" x14ac:dyDescent="0.25">
      <c r="A100" s="17" t="s">
        <v>726</v>
      </c>
      <c r="B100" s="18" t="s">
        <v>1660</v>
      </c>
      <c r="C100" s="19">
        <v>0</v>
      </c>
      <c r="D100" s="19">
        <v>101178.67</v>
      </c>
    </row>
    <row r="101" spans="1:4" ht="15.75" customHeight="1" x14ac:dyDescent="0.25">
      <c r="A101" s="17" t="s">
        <v>1661</v>
      </c>
      <c r="B101" s="18" t="s">
        <v>1662</v>
      </c>
      <c r="C101" s="19">
        <v>0</v>
      </c>
      <c r="D101" s="19">
        <v>15309.81</v>
      </c>
    </row>
    <row r="102" spans="1:4" ht="15.75" customHeight="1" x14ac:dyDescent="0.25">
      <c r="A102" s="17" t="s">
        <v>1663</v>
      </c>
      <c r="B102" s="18" t="s">
        <v>1664</v>
      </c>
      <c r="C102" s="19">
        <v>0</v>
      </c>
      <c r="D102" s="19">
        <v>14732.37</v>
      </c>
    </row>
    <row r="103" spans="1:4" ht="15.75" customHeight="1" x14ac:dyDescent="0.25">
      <c r="A103" s="17" t="s">
        <v>1665</v>
      </c>
      <c r="B103" s="18" t="s">
        <v>1666</v>
      </c>
      <c r="C103" s="19">
        <v>0</v>
      </c>
      <c r="D103" s="19">
        <v>12877.5</v>
      </c>
    </row>
    <row r="104" spans="1:4" ht="15.75" customHeight="1" x14ac:dyDescent="0.25">
      <c r="A104" s="17" t="s">
        <v>1667</v>
      </c>
      <c r="B104" s="18" t="s">
        <v>1668</v>
      </c>
      <c r="C104" s="19">
        <v>0</v>
      </c>
      <c r="D104" s="19">
        <v>3927.96</v>
      </c>
    </row>
    <row r="105" spans="1:4" ht="15.75" customHeight="1" x14ac:dyDescent="0.25">
      <c r="A105" s="17" t="s">
        <v>1669</v>
      </c>
      <c r="B105" s="18" t="s">
        <v>1670</v>
      </c>
      <c r="C105" s="19">
        <v>0</v>
      </c>
      <c r="D105" s="19">
        <v>8097.32</v>
      </c>
    </row>
    <row r="106" spans="1:4" ht="15.75" customHeight="1" x14ac:dyDescent="0.25">
      <c r="A106" s="17" t="s">
        <v>728</v>
      </c>
      <c r="B106" s="18" t="s">
        <v>1671</v>
      </c>
      <c r="C106" s="19">
        <v>0</v>
      </c>
      <c r="D106" s="19">
        <v>0</v>
      </c>
    </row>
    <row r="107" spans="1:4" ht="15.75" customHeight="1" x14ac:dyDescent="0.25">
      <c r="A107" s="17" t="s">
        <v>1672</v>
      </c>
      <c r="B107" s="18" t="s">
        <v>1673</v>
      </c>
      <c r="C107" s="19">
        <v>0</v>
      </c>
      <c r="D107" s="19">
        <v>363.36</v>
      </c>
    </row>
    <row r="108" spans="1:4" ht="15.75" customHeight="1" x14ac:dyDescent="0.25">
      <c r="A108" s="17" t="s">
        <v>1674</v>
      </c>
      <c r="B108" s="18" t="s">
        <v>1675</v>
      </c>
      <c r="C108" s="19">
        <v>0</v>
      </c>
      <c r="D108" s="19">
        <v>0</v>
      </c>
    </row>
    <row r="109" spans="1:4" ht="15.75" customHeight="1" x14ac:dyDescent="0.25">
      <c r="A109" s="17" t="s">
        <v>1676</v>
      </c>
      <c r="B109" s="18" t="s">
        <v>1677</v>
      </c>
      <c r="C109" s="19">
        <v>0</v>
      </c>
      <c r="D109" s="19">
        <v>4381.1899999999996</v>
      </c>
    </row>
    <row r="110" spans="1:4" ht="15.75" customHeight="1" x14ac:dyDescent="0.25">
      <c r="A110" s="17" t="s">
        <v>1242</v>
      </c>
      <c r="B110" s="18" t="s">
        <v>1243</v>
      </c>
      <c r="C110" s="19">
        <v>0</v>
      </c>
      <c r="D110" s="19">
        <v>0</v>
      </c>
    </row>
    <row r="111" spans="1:4" ht="15.75" customHeight="1" x14ac:dyDescent="0.25">
      <c r="A111" s="17" t="s">
        <v>742</v>
      </c>
      <c r="B111" s="18" t="s">
        <v>1678</v>
      </c>
      <c r="C111" s="19">
        <v>0</v>
      </c>
      <c r="D111" s="19">
        <v>0</v>
      </c>
    </row>
    <row r="112" spans="1:4" ht="15.75" customHeight="1" x14ac:dyDescent="0.25">
      <c r="A112" s="17" t="s">
        <v>1679</v>
      </c>
      <c r="B112" s="18" t="s">
        <v>1680</v>
      </c>
      <c r="C112" s="19">
        <v>0</v>
      </c>
      <c r="D112" s="19">
        <v>0</v>
      </c>
    </row>
    <row r="113" spans="1:4" ht="15.75" customHeight="1" x14ac:dyDescent="0.25">
      <c r="A113" s="17" t="s">
        <v>572</v>
      </c>
      <c r="B113" s="18" t="s">
        <v>1681</v>
      </c>
      <c r="C113" s="19">
        <v>0</v>
      </c>
      <c r="D113" s="19">
        <v>75000</v>
      </c>
    </row>
    <row r="114" spans="1:4" ht="15.75" customHeight="1" x14ac:dyDescent="0.25">
      <c r="A114" s="17" t="s">
        <v>1682</v>
      </c>
      <c r="B114" s="18" t="s">
        <v>1683</v>
      </c>
      <c r="C114" s="19">
        <v>0</v>
      </c>
      <c r="D114" s="19">
        <v>59220.29</v>
      </c>
    </row>
    <row r="115" spans="1:4" ht="15.75" customHeight="1" x14ac:dyDescent="0.25">
      <c r="A115" s="17" t="s">
        <v>1684</v>
      </c>
      <c r="B115" s="18" t="s">
        <v>1685</v>
      </c>
      <c r="C115" s="19">
        <v>0</v>
      </c>
      <c r="D115" s="19">
        <v>8518.9500000000007</v>
      </c>
    </row>
    <row r="116" spans="1:4" ht="15.75" customHeight="1" x14ac:dyDescent="0.25">
      <c r="A116" s="17" t="s">
        <v>1275</v>
      </c>
      <c r="B116" s="18" t="s">
        <v>1686</v>
      </c>
      <c r="C116" s="19">
        <v>0</v>
      </c>
      <c r="D116" s="19">
        <v>6967.65</v>
      </c>
    </row>
    <row r="117" spans="1:4" ht="15.75" customHeight="1" x14ac:dyDescent="0.25">
      <c r="A117" s="17" t="s">
        <v>1687</v>
      </c>
      <c r="B117" s="18" t="s">
        <v>1688</v>
      </c>
      <c r="C117" s="19">
        <v>0</v>
      </c>
      <c r="D117" s="19">
        <v>8305.11</v>
      </c>
    </row>
    <row r="118" spans="1:4" ht="15.75" customHeight="1" x14ac:dyDescent="0.25">
      <c r="A118" s="17" t="s">
        <v>1689</v>
      </c>
      <c r="B118" s="18" t="s">
        <v>1690</v>
      </c>
      <c r="C118" s="19">
        <v>0</v>
      </c>
      <c r="D118" s="19">
        <v>2681.49</v>
      </c>
    </row>
    <row r="119" spans="1:4" ht="15.75" customHeight="1" x14ac:dyDescent="0.25">
      <c r="A119" s="17" t="s">
        <v>763</v>
      </c>
      <c r="B119" s="18" t="s">
        <v>1691</v>
      </c>
      <c r="C119" s="19">
        <v>0</v>
      </c>
      <c r="D119" s="19">
        <v>4724.45</v>
      </c>
    </row>
    <row r="120" spans="1:4" ht="15.75" customHeight="1" x14ac:dyDescent="0.25">
      <c r="A120" s="17" t="s">
        <v>1692</v>
      </c>
      <c r="B120" s="18" t="s">
        <v>1693</v>
      </c>
      <c r="C120" s="19">
        <v>0</v>
      </c>
      <c r="D120" s="19">
        <v>0</v>
      </c>
    </row>
    <row r="121" spans="1:4" ht="15.75" customHeight="1" x14ac:dyDescent="0.25">
      <c r="A121" s="17" t="s">
        <v>1694</v>
      </c>
      <c r="B121" s="18" t="s">
        <v>1695</v>
      </c>
      <c r="C121" s="19">
        <v>0</v>
      </c>
      <c r="D121" s="19">
        <v>1706.25</v>
      </c>
    </row>
    <row r="122" spans="1:4" ht="15.75" customHeight="1" x14ac:dyDescent="0.25">
      <c r="A122" s="17" t="s">
        <v>1696</v>
      </c>
      <c r="B122" s="18" t="s">
        <v>1697</v>
      </c>
      <c r="C122" s="19">
        <v>0</v>
      </c>
      <c r="D122" s="19">
        <v>38000</v>
      </c>
    </row>
    <row r="123" spans="1:4" ht="15.75" customHeight="1" x14ac:dyDescent="0.25">
      <c r="A123" s="17" t="s">
        <v>1698</v>
      </c>
      <c r="B123" s="18" t="s">
        <v>1699</v>
      </c>
      <c r="C123" s="19">
        <v>0</v>
      </c>
      <c r="D123" s="19">
        <v>2129.87</v>
      </c>
    </row>
    <row r="124" spans="1:4" ht="15.75" customHeight="1" x14ac:dyDescent="0.25">
      <c r="A124" s="17" t="s">
        <v>1700</v>
      </c>
      <c r="B124" s="18" t="s">
        <v>1701</v>
      </c>
      <c r="C124" s="19">
        <v>0</v>
      </c>
      <c r="D124" s="19">
        <v>800</v>
      </c>
    </row>
    <row r="125" spans="1:4" ht="15.75" customHeight="1" x14ac:dyDescent="0.25">
      <c r="A125" s="17" t="s">
        <v>1702</v>
      </c>
      <c r="B125" s="18" t="s">
        <v>1703</v>
      </c>
      <c r="C125" s="19">
        <v>0</v>
      </c>
      <c r="D125" s="19">
        <v>0</v>
      </c>
    </row>
    <row r="126" spans="1:4" ht="15.75" customHeight="1" x14ac:dyDescent="0.25">
      <c r="A126" s="17" t="s">
        <v>1704</v>
      </c>
      <c r="B126" s="18" t="s">
        <v>1705</v>
      </c>
      <c r="C126" s="19">
        <v>0</v>
      </c>
      <c r="D126" s="19">
        <v>0</v>
      </c>
    </row>
    <row r="127" spans="1:4" ht="15.75" customHeight="1" x14ac:dyDescent="0.25">
      <c r="A127" s="17" t="s">
        <v>1706</v>
      </c>
      <c r="B127" s="18" t="s">
        <v>1707</v>
      </c>
      <c r="C127" s="19">
        <v>0</v>
      </c>
      <c r="D127" s="19">
        <v>0</v>
      </c>
    </row>
    <row r="128" spans="1:4" ht="15.75" customHeight="1" x14ac:dyDescent="0.25">
      <c r="A128" s="17" t="s">
        <v>1708</v>
      </c>
      <c r="B128" s="18" t="s">
        <v>1709</v>
      </c>
      <c r="C128" s="19">
        <v>0</v>
      </c>
      <c r="D128" s="19">
        <v>0</v>
      </c>
    </row>
    <row r="129" spans="1:4" ht="15.75" customHeight="1" x14ac:dyDescent="0.25">
      <c r="A129" s="17" t="s">
        <v>1710</v>
      </c>
      <c r="B129" s="18" t="s">
        <v>1711</v>
      </c>
      <c r="C129" s="19">
        <v>0</v>
      </c>
      <c r="D129" s="19">
        <v>0</v>
      </c>
    </row>
    <row r="130" spans="1:4" ht="15.75" customHeight="1" x14ac:dyDescent="0.25">
      <c r="A130" s="17" t="s">
        <v>1712</v>
      </c>
      <c r="B130" s="18" t="s">
        <v>1713</v>
      </c>
      <c r="C130" s="19">
        <v>0</v>
      </c>
      <c r="D130" s="19">
        <v>0</v>
      </c>
    </row>
    <row r="131" spans="1:4" ht="15.75" customHeight="1" x14ac:dyDescent="0.25">
      <c r="A131" s="17" t="s">
        <v>769</v>
      </c>
      <c r="B131" s="18" t="s">
        <v>1714</v>
      </c>
      <c r="C131" s="19">
        <v>290.36</v>
      </c>
      <c r="D131" s="19">
        <v>0</v>
      </c>
    </row>
    <row r="132" spans="1:4" ht="15.75" customHeight="1" x14ac:dyDescent="0.25">
      <c r="A132" s="17" t="s">
        <v>582</v>
      </c>
      <c r="B132" s="18" t="s">
        <v>1715</v>
      </c>
      <c r="C132" s="19">
        <v>8016.43</v>
      </c>
      <c r="D132" s="19">
        <v>0</v>
      </c>
    </row>
    <row r="133" spans="1:4" ht="15.75" customHeight="1" x14ac:dyDescent="0.25">
      <c r="A133" s="17" t="s">
        <v>1716</v>
      </c>
      <c r="B133" s="18" t="s">
        <v>1717</v>
      </c>
      <c r="C133" s="19">
        <v>0</v>
      </c>
      <c r="D133" s="19">
        <v>0</v>
      </c>
    </row>
    <row r="134" spans="1:4" ht="15.75" customHeight="1" x14ac:dyDescent="0.25">
      <c r="A134" s="17" t="s">
        <v>1077</v>
      </c>
      <c r="B134" s="18" t="s">
        <v>1718</v>
      </c>
      <c r="C134" s="19">
        <v>0</v>
      </c>
      <c r="D134" s="19">
        <v>0</v>
      </c>
    </row>
    <row r="135" spans="1:4" ht="15.75" customHeight="1" x14ac:dyDescent="0.25">
      <c r="A135" s="17" t="s">
        <v>1719</v>
      </c>
      <c r="B135" s="18" t="s">
        <v>1720</v>
      </c>
      <c r="C135" s="19">
        <v>0</v>
      </c>
      <c r="D135" s="19">
        <v>0</v>
      </c>
    </row>
    <row r="136" spans="1:4" ht="15.75" customHeight="1" x14ac:dyDescent="0.25">
      <c r="A136" s="17" t="s">
        <v>1721</v>
      </c>
      <c r="B136" s="18" t="s">
        <v>1722</v>
      </c>
      <c r="C136" s="19">
        <v>279.62</v>
      </c>
      <c r="D136" s="19">
        <v>0</v>
      </c>
    </row>
    <row r="137" spans="1:4" ht="15.75" customHeight="1" x14ac:dyDescent="0.25">
      <c r="A137" s="17" t="s">
        <v>1082</v>
      </c>
      <c r="B137" s="18" t="s">
        <v>1723</v>
      </c>
      <c r="C137" s="19">
        <v>0</v>
      </c>
      <c r="D137" s="19">
        <v>0</v>
      </c>
    </row>
    <row r="138" spans="1:4" ht="15.75" customHeight="1" x14ac:dyDescent="0.25">
      <c r="A138" s="17" t="s">
        <v>1086</v>
      </c>
      <c r="B138" s="18" t="s">
        <v>1724</v>
      </c>
      <c r="C138" s="19">
        <v>42135.24</v>
      </c>
      <c r="D138" s="19">
        <v>0</v>
      </c>
    </row>
    <row r="139" spans="1:4" ht="15.75" customHeight="1" x14ac:dyDescent="0.25">
      <c r="A139" s="17" t="s">
        <v>1088</v>
      </c>
      <c r="B139" s="18" t="s">
        <v>1725</v>
      </c>
      <c r="C139" s="19">
        <v>0</v>
      </c>
      <c r="D139" s="19">
        <v>0</v>
      </c>
    </row>
    <row r="140" spans="1:4" ht="15.75" customHeight="1" x14ac:dyDescent="0.25">
      <c r="A140" s="17" t="s">
        <v>588</v>
      </c>
      <c r="B140" s="18" t="s">
        <v>1726</v>
      </c>
      <c r="C140" s="19">
        <v>0</v>
      </c>
      <c r="D140" s="19">
        <v>0</v>
      </c>
    </row>
    <row r="141" spans="1:4" ht="15.75" customHeight="1" x14ac:dyDescent="0.25">
      <c r="A141" s="17" t="s">
        <v>1090</v>
      </c>
      <c r="B141" s="18" t="s">
        <v>1727</v>
      </c>
      <c r="C141" s="19">
        <v>49004.31</v>
      </c>
      <c r="D141" s="19">
        <v>0</v>
      </c>
    </row>
    <row r="142" spans="1:4" ht="15.75" customHeight="1" x14ac:dyDescent="0.25">
      <c r="A142" s="17" t="s">
        <v>1728</v>
      </c>
      <c r="B142" s="18" t="s">
        <v>1729</v>
      </c>
      <c r="C142" s="19">
        <v>0</v>
      </c>
      <c r="D142" s="19">
        <v>0</v>
      </c>
    </row>
    <row r="143" spans="1:4" ht="15.75" customHeight="1" x14ac:dyDescent="0.25">
      <c r="A143" s="17" t="s">
        <v>1730</v>
      </c>
      <c r="B143" s="18" t="s">
        <v>1731</v>
      </c>
      <c r="C143" s="19">
        <v>14478.85</v>
      </c>
      <c r="D143" s="19">
        <v>0</v>
      </c>
    </row>
    <row r="144" spans="1:4" ht="15.75" customHeight="1" x14ac:dyDescent="0.25">
      <c r="A144" s="17" t="s">
        <v>606</v>
      </c>
      <c r="B144" s="18" t="s">
        <v>1732</v>
      </c>
      <c r="C144" s="19">
        <v>672</v>
      </c>
      <c r="D144" s="19">
        <v>0</v>
      </c>
    </row>
    <row r="145" spans="1:4" ht="15.75" customHeight="1" x14ac:dyDescent="0.25">
      <c r="A145" s="17" t="s">
        <v>1101</v>
      </c>
      <c r="B145" s="18" t="s">
        <v>1733</v>
      </c>
      <c r="C145" s="19">
        <v>0</v>
      </c>
      <c r="D145" s="19">
        <v>0</v>
      </c>
    </row>
    <row r="146" spans="1:4" ht="15.75" customHeight="1" x14ac:dyDescent="0.25">
      <c r="A146" s="17" t="s">
        <v>1734</v>
      </c>
      <c r="B146" s="18" t="s">
        <v>1735</v>
      </c>
      <c r="C146" s="19">
        <v>0</v>
      </c>
      <c r="D146" s="19">
        <v>0</v>
      </c>
    </row>
    <row r="147" spans="1:4" ht="15.75" customHeight="1" x14ac:dyDescent="0.25">
      <c r="A147" s="17" t="s">
        <v>1736</v>
      </c>
      <c r="B147" s="18" t="s">
        <v>1737</v>
      </c>
      <c r="C147" s="19">
        <v>2640.01</v>
      </c>
      <c r="D147" s="19">
        <v>0</v>
      </c>
    </row>
    <row r="148" spans="1:4" ht="15.75" customHeight="1" x14ac:dyDescent="0.25">
      <c r="A148" s="17" t="s">
        <v>612</v>
      </c>
      <c r="B148" s="18" t="s">
        <v>617</v>
      </c>
      <c r="C148" s="19">
        <v>1853.44</v>
      </c>
      <c r="D148" s="19">
        <v>0</v>
      </c>
    </row>
    <row r="149" spans="1:4" ht="15.75" customHeight="1" x14ac:dyDescent="0.25">
      <c r="A149" s="17" t="s">
        <v>1738</v>
      </c>
      <c r="B149" s="18" t="s">
        <v>1739</v>
      </c>
      <c r="C149" s="19">
        <v>292.35000000000002</v>
      </c>
      <c r="D149" s="19">
        <v>0</v>
      </c>
    </row>
    <row r="150" spans="1:4" ht="15.75" customHeight="1" x14ac:dyDescent="0.25">
      <c r="A150" s="17" t="s">
        <v>1110</v>
      </c>
      <c r="B150" s="18" t="s">
        <v>1740</v>
      </c>
      <c r="C150" s="19">
        <v>0</v>
      </c>
      <c r="D150" s="19">
        <v>0</v>
      </c>
    </row>
    <row r="151" spans="1:4" ht="15.75" customHeight="1" x14ac:dyDescent="0.25">
      <c r="A151" s="17" t="s">
        <v>620</v>
      </c>
      <c r="B151" s="18" t="s">
        <v>1741</v>
      </c>
      <c r="C151" s="19">
        <v>152189.67000000001</v>
      </c>
      <c r="D151" s="19">
        <v>0</v>
      </c>
    </row>
    <row r="152" spans="1:4" ht="15.75" customHeight="1" x14ac:dyDescent="0.25">
      <c r="A152" s="17" t="s">
        <v>622</v>
      </c>
      <c r="B152" s="18" t="s">
        <v>1742</v>
      </c>
      <c r="C152" s="19">
        <v>0</v>
      </c>
      <c r="D152" s="19">
        <v>0</v>
      </c>
    </row>
    <row r="153" spans="1:4" ht="15.75" customHeight="1" x14ac:dyDescent="0.25">
      <c r="A153" s="17" t="s">
        <v>1743</v>
      </c>
      <c r="B153" s="18" t="s">
        <v>1744</v>
      </c>
      <c r="C153" s="19">
        <v>49198.65</v>
      </c>
      <c r="D153" s="19">
        <v>0</v>
      </c>
    </row>
    <row r="154" spans="1:4" ht="15.75" customHeight="1" x14ac:dyDescent="0.25">
      <c r="A154" s="17" t="s">
        <v>845</v>
      </c>
      <c r="B154" s="18" t="s">
        <v>1745</v>
      </c>
      <c r="C154" s="19">
        <v>0</v>
      </c>
      <c r="D154" s="19">
        <v>0</v>
      </c>
    </row>
    <row r="155" spans="1:4" ht="15.75" customHeight="1" x14ac:dyDescent="0.25">
      <c r="A155" s="17" t="s">
        <v>849</v>
      </c>
      <c r="B155" s="18" t="s">
        <v>1746</v>
      </c>
      <c r="C155" s="19">
        <v>0</v>
      </c>
      <c r="D155" s="19">
        <v>0</v>
      </c>
    </row>
    <row r="156" spans="1:4" ht="15.75" customHeight="1" x14ac:dyDescent="0.25">
      <c r="A156" s="17" t="s">
        <v>851</v>
      </c>
      <c r="B156" s="18" t="s">
        <v>1747</v>
      </c>
      <c r="C156" s="19">
        <v>0</v>
      </c>
      <c r="D156" s="19">
        <v>0</v>
      </c>
    </row>
    <row r="157" spans="1:4" ht="15.75" customHeight="1" x14ac:dyDescent="0.25">
      <c r="A157" s="17" t="s">
        <v>891</v>
      </c>
      <c r="B157" s="18" t="s">
        <v>1748</v>
      </c>
      <c r="C157" s="19">
        <v>3097.12</v>
      </c>
      <c r="D157" s="19">
        <v>0</v>
      </c>
    </row>
    <row r="158" spans="1:4" ht="15.75" customHeight="1" x14ac:dyDescent="0.25">
      <c r="A158" s="17" t="s">
        <v>893</v>
      </c>
      <c r="B158" s="18" t="s">
        <v>1749</v>
      </c>
      <c r="C158" s="19">
        <v>26400</v>
      </c>
      <c r="D158" s="19">
        <v>0</v>
      </c>
    </row>
    <row r="159" spans="1:4" ht="15.75" customHeight="1" x14ac:dyDescent="0.25">
      <c r="A159" s="17" t="s">
        <v>1392</v>
      </c>
      <c r="B159" s="18" t="s">
        <v>1749</v>
      </c>
      <c r="C159" s="19">
        <v>26400</v>
      </c>
      <c r="D159" s="19">
        <v>0</v>
      </c>
    </row>
    <row r="160" spans="1:4" ht="15.75" customHeight="1" x14ac:dyDescent="0.25">
      <c r="A160" s="17" t="s">
        <v>1750</v>
      </c>
      <c r="B160" s="18" t="s">
        <v>1751</v>
      </c>
      <c r="C160" s="19">
        <v>17935.990000000002</v>
      </c>
      <c r="D160" s="19">
        <v>0</v>
      </c>
    </row>
    <row r="161" spans="1:4" ht="15.75" customHeight="1" x14ac:dyDescent="0.25">
      <c r="A161" s="17" t="s">
        <v>1752</v>
      </c>
      <c r="B161" s="18" t="s">
        <v>1753</v>
      </c>
      <c r="C161" s="19">
        <v>135.24</v>
      </c>
      <c r="D161" s="19">
        <v>0</v>
      </c>
    </row>
    <row r="162" spans="1:4" ht="15.75" customHeight="1" x14ac:dyDescent="0.25">
      <c r="A162" s="17" t="s">
        <v>1754</v>
      </c>
      <c r="B162" s="18" t="s">
        <v>1724</v>
      </c>
      <c r="C162" s="19">
        <v>9145.1200000000008</v>
      </c>
      <c r="D162" s="19">
        <v>0</v>
      </c>
    </row>
    <row r="163" spans="1:4" ht="15.75" customHeight="1" x14ac:dyDescent="0.25">
      <c r="A163" s="17" t="s">
        <v>907</v>
      </c>
      <c r="B163" s="18" t="s">
        <v>1755</v>
      </c>
      <c r="C163" s="19">
        <v>0</v>
      </c>
      <c r="D163" s="19">
        <v>0</v>
      </c>
    </row>
    <row r="164" spans="1:4" ht="15.75" customHeight="1" x14ac:dyDescent="0.25">
      <c r="A164" s="17" t="s">
        <v>909</v>
      </c>
      <c r="B164" s="18" t="s">
        <v>1756</v>
      </c>
      <c r="C164" s="19">
        <v>0</v>
      </c>
      <c r="D164" s="19">
        <v>0</v>
      </c>
    </row>
    <row r="165" spans="1:4" ht="15.75" customHeight="1" x14ac:dyDescent="0.25">
      <c r="A165" s="17" t="s">
        <v>1757</v>
      </c>
      <c r="B165" s="18" t="s">
        <v>1758</v>
      </c>
      <c r="C165" s="19">
        <v>35129.25</v>
      </c>
      <c r="D165" s="19">
        <v>0</v>
      </c>
    </row>
    <row r="166" spans="1:4" ht="15.75" customHeight="1" x14ac:dyDescent="0.25">
      <c r="A166" s="17" t="s">
        <v>1759</v>
      </c>
      <c r="B166" s="18" t="s">
        <v>1760</v>
      </c>
      <c r="C166" s="19">
        <v>0</v>
      </c>
      <c r="D166" s="19">
        <v>0</v>
      </c>
    </row>
    <row r="167" spans="1:4" ht="15.75" customHeight="1" x14ac:dyDescent="0.25">
      <c r="A167" s="17" t="s">
        <v>1761</v>
      </c>
      <c r="B167" s="18" t="s">
        <v>1762</v>
      </c>
      <c r="C167" s="19">
        <v>0</v>
      </c>
      <c r="D167" s="19">
        <v>0</v>
      </c>
    </row>
    <row r="168" spans="1:4" ht="15.75" customHeight="1" x14ac:dyDescent="0.25">
      <c r="A168" s="17" t="s">
        <v>632</v>
      </c>
      <c r="B168" s="18" t="s">
        <v>1763</v>
      </c>
      <c r="C168" s="19">
        <v>0</v>
      </c>
      <c r="D168" s="19">
        <v>0</v>
      </c>
    </row>
    <row r="169" spans="1:4" ht="15.75" customHeight="1" x14ac:dyDescent="0.25">
      <c r="A169" s="17" t="s">
        <v>1764</v>
      </c>
      <c r="B169" s="18" t="s">
        <v>1765</v>
      </c>
      <c r="C169" s="19">
        <v>3034.32</v>
      </c>
      <c r="D169" s="19">
        <v>0</v>
      </c>
    </row>
    <row r="170" spans="1:4" ht="15.75" customHeight="1" x14ac:dyDescent="0.25">
      <c r="A170" s="17" t="s">
        <v>1766</v>
      </c>
      <c r="B170" s="18" t="s">
        <v>615</v>
      </c>
      <c r="C170" s="19">
        <v>0</v>
      </c>
      <c r="D170" s="19">
        <v>0</v>
      </c>
    </row>
    <row r="171" spans="1:4" ht="15.75" customHeight="1" x14ac:dyDescent="0.25">
      <c r="A171" s="17" t="s">
        <v>1767</v>
      </c>
      <c r="B171" s="18" t="s">
        <v>860</v>
      </c>
      <c r="C171" s="19">
        <v>0</v>
      </c>
      <c r="D171" s="19">
        <v>0</v>
      </c>
    </row>
    <row r="172" spans="1:4" ht="15.75" customHeight="1" x14ac:dyDescent="0.25">
      <c r="A172" s="17" t="s">
        <v>1768</v>
      </c>
      <c r="B172" s="18" t="s">
        <v>623</v>
      </c>
      <c r="C172" s="19">
        <v>0</v>
      </c>
      <c r="D172" s="19">
        <v>0</v>
      </c>
    </row>
    <row r="173" spans="1:4" ht="15.75" customHeight="1" x14ac:dyDescent="0.25">
      <c r="A173" s="17" t="s">
        <v>1131</v>
      </c>
      <c r="B173" s="18" t="s">
        <v>1769</v>
      </c>
      <c r="C173" s="19">
        <v>0</v>
      </c>
      <c r="D173" s="19">
        <v>0</v>
      </c>
    </row>
    <row r="174" spans="1:4" ht="15.75" customHeight="1" x14ac:dyDescent="0.25">
      <c r="A174" s="17" t="s">
        <v>1770</v>
      </c>
      <c r="B174" s="18" t="s">
        <v>1771</v>
      </c>
      <c r="C174" s="19">
        <v>1482.94</v>
      </c>
      <c r="D174" s="19">
        <v>0</v>
      </c>
    </row>
    <row r="175" spans="1:4" ht="15.75" customHeight="1" x14ac:dyDescent="0.25">
      <c r="A175" s="17" t="s">
        <v>1772</v>
      </c>
      <c r="B175" s="18" t="s">
        <v>1773</v>
      </c>
      <c r="C175" s="19">
        <v>1375.7</v>
      </c>
      <c r="D175" s="19">
        <v>0</v>
      </c>
    </row>
    <row r="176" spans="1:4" ht="15.75" customHeight="1" x14ac:dyDescent="0.25">
      <c r="A176" s="17" t="s">
        <v>1774</v>
      </c>
      <c r="B176" s="18" t="s">
        <v>1775</v>
      </c>
      <c r="C176" s="19">
        <v>0</v>
      </c>
      <c r="D176" s="19">
        <v>0</v>
      </c>
    </row>
    <row r="177" spans="1:4" ht="15.75" customHeight="1" x14ac:dyDescent="0.25">
      <c r="A177" s="17" t="s">
        <v>1776</v>
      </c>
      <c r="B177" s="18" t="s">
        <v>1777</v>
      </c>
      <c r="C177" s="19">
        <v>0</v>
      </c>
      <c r="D177" s="19">
        <v>0</v>
      </c>
    </row>
    <row r="178" spans="1:4" ht="15.75" customHeight="1" x14ac:dyDescent="0.25">
      <c r="A178" s="17" t="s">
        <v>1778</v>
      </c>
      <c r="B178" s="18" t="s">
        <v>1779</v>
      </c>
      <c r="C178" s="19">
        <v>0</v>
      </c>
      <c r="D178" s="19">
        <v>0</v>
      </c>
    </row>
    <row r="179" spans="1:4" ht="15.75" customHeight="1" x14ac:dyDescent="0.25">
      <c r="A179" s="17" t="s">
        <v>1137</v>
      </c>
      <c r="B179" s="18" t="s">
        <v>1780</v>
      </c>
      <c r="C179" s="19">
        <v>49198.65</v>
      </c>
      <c r="D179" s="19">
        <v>0</v>
      </c>
    </row>
    <row r="180" spans="1:4" ht="15.75" customHeight="1" x14ac:dyDescent="0.25">
      <c r="A180" s="17" t="s">
        <v>1781</v>
      </c>
      <c r="B180" s="18" t="s">
        <v>1782</v>
      </c>
      <c r="C180" s="19">
        <v>3720.2</v>
      </c>
      <c r="D180" s="19">
        <v>0</v>
      </c>
    </row>
    <row r="181" spans="1:4" ht="15.75" customHeight="1" x14ac:dyDescent="0.25">
      <c r="A181" s="17" t="s">
        <v>1783</v>
      </c>
      <c r="B181" s="18" t="s">
        <v>1784</v>
      </c>
      <c r="C181" s="19">
        <v>0</v>
      </c>
      <c r="D181" s="19">
        <v>0</v>
      </c>
    </row>
    <row r="182" spans="1:4" ht="15.75" customHeight="1" x14ac:dyDescent="0.25">
      <c r="A182" s="17" t="s">
        <v>1785</v>
      </c>
      <c r="B182" s="18" t="s">
        <v>1786</v>
      </c>
      <c r="C182" s="19">
        <v>0</v>
      </c>
      <c r="D182" s="19">
        <v>0</v>
      </c>
    </row>
    <row r="183" spans="1:4" ht="15.75" customHeight="1" x14ac:dyDescent="0.25">
      <c r="A183" s="17" t="s">
        <v>1787</v>
      </c>
      <c r="B183" s="18" t="s">
        <v>1788</v>
      </c>
      <c r="C183" s="19">
        <v>0</v>
      </c>
      <c r="D183" s="19">
        <v>0</v>
      </c>
    </row>
    <row r="184" spans="1:4" ht="15.75" customHeight="1" x14ac:dyDescent="0.25">
      <c r="A184" s="17" t="s">
        <v>1789</v>
      </c>
      <c r="B184" s="18" t="s">
        <v>1790</v>
      </c>
      <c r="C184" s="19">
        <v>0</v>
      </c>
      <c r="D184" s="19">
        <v>0</v>
      </c>
    </row>
    <row r="185" spans="1:4" ht="15.75" customHeight="1" x14ac:dyDescent="0.25">
      <c r="A185" s="17" t="s">
        <v>1791</v>
      </c>
      <c r="B185" s="18" t="s">
        <v>1792</v>
      </c>
      <c r="C185" s="19">
        <v>318</v>
      </c>
      <c r="D185" s="19">
        <v>0</v>
      </c>
    </row>
    <row r="186" spans="1:4" ht="15.75" customHeight="1" x14ac:dyDescent="0.25">
      <c r="A186" s="17" t="s">
        <v>1793</v>
      </c>
      <c r="B186" s="18" t="s">
        <v>1794</v>
      </c>
      <c r="C186" s="19">
        <v>0</v>
      </c>
      <c r="D186" s="19">
        <v>0</v>
      </c>
    </row>
    <row r="187" spans="1:4" ht="15.75" customHeight="1" x14ac:dyDescent="0.25">
      <c r="A187" s="17" t="s">
        <v>1795</v>
      </c>
      <c r="B187" s="18" t="s">
        <v>1796</v>
      </c>
      <c r="C187" s="19">
        <v>0</v>
      </c>
      <c r="D187" s="19">
        <v>0</v>
      </c>
    </row>
    <row r="188" spans="1:4" ht="15.75" customHeight="1" x14ac:dyDescent="0.25">
      <c r="A188" s="17" t="s">
        <v>1797</v>
      </c>
      <c r="B188" s="18" t="s">
        <v>1798</v>
      </c>
      <c r="C188" s="19">
        <v>0</v>
      </c>
      <c r="D188" s="19">
        <v>0</v>
      </c>
    </row>
    <row r="189" spans="1:4" ht="15.75" customHeight="1" x14ac:dyDescent="0.25">
      <c r="A189" s="17" t="s">
        <v>1799</v>
      </c>
      <c r="B189" s="18" t="s">
        <v>1800</v>
      </c>
      <c r="C189" s="19">
        <v>21707.52</v>
      </c>
      <c r="D189" s="19">
        <v>0</v>
      </c>
    </row>
    <row r="190" spans="1:4" ht="15.75" customHeight="1" x14ac:dyDescent="0.25">
      <c r="A190" s="17" t="s">
        <v>1801</v>
      </c>
      <c r="B190" s="18" t="s">
        <v>1802</v>
      </c>
      <c r="C190" s="20">
        <v>0</v>
      </c>
      <c r="D190" s="20">
        <v>0</v>
      </c>
    </row>
    <row r="191" spans="1:4" ht="15" customHeight="1" x14ac:dyDescent="0.25"/>
    <row r="192" spans="1:4" ht="16.5" customHeight="1" thickBot="1" x14ac:dyDescent="0.3">
      <c r="A192" s="13"/>
      <c r="B192" s="13"/>
      <c r="C192" s="74">
        <f>SUBTOTAL(9,C6:C190)</f>
        <v>11726317.549999995</v>
      </c>
      <c r="D192" s="74">
        <f>SUBTOTAL(9,D6:D190)</f>
        <v>11726317.549999995</v>
      </c>
    </row>
    <row r="193" spans="1:4" ht="15" customHeight="1" thickTop="1" x14ac:dyDescent="0.25"/>
    <row r="194" spans="1:4" ht="15" customHeight="1" x14ac:dyDescent="0.25">
      <c r="A194" s="236" t="s">
        <v>2086</v>
      </c>
      <c r="B194" s="236"/>
      <c r="C194" s="236"/>
      <c r="D194" s="236"/>
    </row>
    <row r="249" spans="1:4" ht="16.5" thickBot="1" x14ac:dyDescent="0.3">
      <c r="A249" s="13"/>
      <c r="B249" s="13"/>
      <c r="C249" s="74">
        <f>SUBTOTAL(9,C6:C248)</f>
        <v>11726317.549999995</v>
      </c>
      <c r="D249" s="74">
        <f>SUBTOTAL(9,D6:D248)</f>
        <v>11726317.549999995</v>
      </c>
    </row>
    <row r="250" spans="1:4" ht="15.75" thickTop="1" x14ac:dyDescent="0.25"/>
    <row r="251" spans="1:4" x14ac:dyDescent="0.25">
      <c r="A251" s="236"/>
      <c r="B251" s="236"/>
      <c r="C251" s="236"/>
      <c r="D251" s="236"/>
    </row>
  </sheetData>
  <mergeCells count="2">
    <mergeCell ref="A251:D251"/>
    <mergeCell ref="A194:D194"/>
  </mergeCells>
  <pageMargins left="0" right="0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BF7C-9C95-4DEB-8623-08932E5A2B40}">
  <dimension ref="A1:D191"/>
  <sheetViews>
    <sheetView showGridLines="0" workbookViewId="0">
      <pane ySplit="5" topLeftCell="A143" activePane="bottomLeft" state="frozenSplit"/>
      <selection pane="bottomLeft" activeCell="A198" sqref="A198"/>
    </sheetView>
  </sheetViews>
  <sheetFormatPr defaultRowHeight="15" x14ac:dyDescent="0.25"/>
  <cols>
    <col min="1" max="1" width="12.5703125" bestFit="1" customWidth="1"/>
    <col min="2" max="2" width="48.140625" bestFit="1" customWidth="1"/>
    <col min="3" max="4" width="16.140625" bestFit="1" customWidth="1"/>
  </cols>
  <sheetData>
    <row r="1" spans="1:4" ht="18" x14ac:dyDescent="0.25">
      <c r="A1" s="1" t="s">
        <v>520</v>
      </c>
      <c r="B1" s="1"/>
      <c r="C1" s="1"/>
      <c r="D1" s="1"/>
    </row>
    <row r="2" spans="1:4" x14ac:dyDescent="0.25">
      <c r="A2" s="63" t="s">
        <v>2085</v>
      </c>
      <c r="B2" s="63"/>
      <c r="C2" s="63"/>
      <c r="D2" s="63"/>
    </row>
    <row r="3" spans="1:4" x14ac:dyDescent="0.25">
      <c r="A3" s="63" t="s">
        <v>521</v>
      </c>
      <c r="B3" s="63"/>
      <c r="C3" s="63"/>
      <c r="D3" s="63"/>
    </row>
    <row r="4" spans="1:4" x14ac:dyDescent="0.25">
      <c r="A4" s="2"/>
      <c r="B4" s="2"/>
      <c r="C4" s="75" t="s">
        <v>521</v>
      </c>
    </row>
    <row r="5" spans="1:4" x14ac:dyDescent="0.25">
      <c r="A5" s="76" t="s">
        <v>522</v>
      </c>
      <c r="B5" s="77" t="s">
        <v>523</v>
      </c>
      <c r="C5" s="76" t="s">
        <v>524</v>
      </c>
      <c r="D5" s="76" t="s">
        <v>525</v>
      </c>
    </row>
    <row r="6" spans="1:4" x14ac:dyDescent="0.25">
      <c r="A6" s="78" t="s">
        <v>526</v>
      </c>
      <c r="B6" s="79" t="s">
        <v>527</v>
      </c>
      <c r="C6" s="80">
        <v>43757</v>
      </c>
      <c r="D6" s="80">
        <v>0</v>
      </c>
    </row>
    <row r="7" spans="1:4" x14ac:dyDescent="0.25">
      <c r="A7" s="78" t="s">
        <v>992</v>
      </c>
      <c r="B7" s="79" t="s">
        <v>993</v>
      </c>
      <c r="C7" s="80">
        <v>0</v>
      </c>
      <c r="D7" s="80">
        <v>0</v>
      </c>
    </row>
    <row r="8" spans="1:4" x14ac:dyDescent="0.25">
      <c r="A8" s="78" t="s">
        <v>994</v>
      </c>
      <c r="B8" s="79" t="s">
        <v>995</v>
      </c>
      <c r="C8" s="80">
        <v>0</v>
      </c>
      <c r="D8" s="80">
        <v>0</v>
      </c>
    </row>
    <row r="9" spans="1:4" x14ac:dyDescent="0.25">
      <c r="A9" s="78" t="s">
        <v>996</v>
      </c>
      <c r="B9" s="79" t="s">
        <v>997</v>
      </c>
      <c r="C9" s="80">
        <v>0</v>
      </c>
      <c r="D9" s="80">
        <v>0</v>
      </c>
    </row>
    <row r="10" spans="1:4" x14ac:dyDescent="0.25">
      <c r="A10" s="78" t="s">
        <v>638</v>
      </c>
      <c r="B10" s="79" t="s">
        <v>998</v>
      </c>
      <c r="C10" s="80">
        <v>0</v>
      </c>
      <c r="D10" s="80">
        <v>0</v>
      </c>
    </row>
    <row r="11" spans="1:4" x14ac:dyDescent="0.25">
      <c r="A11" s="78" t="s">
        <v>528</v>
      </c>
      <c r="B11" s="79" t="s">
        <v>529</v>
      </c>
      <c r="C11" s="80">
        <v>5.57</v>
      </c>
      <c r="D11" s="80">
        <v>0</v>
      </c>
    </row>
    <row r="12" spans="1:4" x14ac:dyDescent="0.25">
      <c r="A12" s="78" t="s">
        <v>530</v>
      </c>
      <c r="B12" s="79" t="s">
        <v>531</v>
      </c>
      <c r="C12" s="80">
        <v>750</v>
      </c>
      <c r="D12" s="80">
        <v>0</v>
      </c>
    </row>
    <row r="13" spans="1:4" x14ac:dyDescent="0.25">
      <c r="A13" s="78" t="s">
        <v>532</v>
      </c>
      <c r="B13" s="79" t="s">
        <v>533</v>
      </c>
      <c r="C13" s="80">
        <v>29154.9</v>
      </c>
      <c r="D13" s="80">
        <v>0</v>
      </c>
    </row>
    <row r="14" spans="1:4" x14ac:dyDescent="0.25">
      <c r="A14" s="78" t="s">
        <v>534</v>
      </c>
      <c r="B14" s="79" t="s">
        <v>535</v>
      </c>
      <c r="C14" s="80">
        <v>0</v>
      </c>
      <c r="D14" s="80">
        <v>0</v>
      </c>
    </row>
    <row r="15" spans="1:4" x14ac:dyDescent="0.25">
      <c r="A15" s="78" t="s">
        <v>999</v>
      </c>
      <c r="B15" s="79" t="s">
        <v>1000</v>
      </c>
      <c r="C15" s="80">
        <v>0</v>
      </c>
      <c r="D15" s="80">
        <v>0</v>
      </c>
    </row>
    <row r="16" spans="1:4" x14ac:dyDescent="0.25">
      <c r="A16" s="78" t="s">
        <v>1001</v>
      </c>
      <c r="B16" s="79" t="s">
        <v>1002</v>
      </c>
      <c r="C16" s="80">
        <v>0</v>
      </c>
      <c r="D16" s="80">
        <v>0</v>
      </c>
    </row>
    <row r="17" spans="1:4" x14ac:dyDescent="0.25">
      <c r="A17" s="78" t="s">
        <v>536</v>
      </c>
      <c r="B17" s="79" t="s">
        <v>537</v>
      </c>
      <c r="C17" s="80">
        <v>3090.06</v>
      </c>
      <c r="D17" s="80">
        <v>0</v>
      </c>
    </row>
    <row r="18" spans="1:4" x14ac:dyDescent="0.25">
      <c r="A18" s="78" t="s">
        <v>1003</v>
      </c>
      <c r="B18" s="79" t="s">
        <v>1004</v>
      </c>
      <c r="C18" s="80">
        <v>0</v>
      </c>
      <c r="D18" s="80">
        <v>0</v>
      </c>
    </row>
    <row r="19" spans="1:4" x14ac:dyDescent="0.25">
      <c r="A19" s="78" t="s">
        <v>538</v>
      </c>
      <c r="B19" s="79" t="s">
        <v>539</v>
      </c>
      <c r="C19" s="80">
        <v>159.72999999999999</v>
      </c>
      <c r="D19" s="80">
        <v>0</v>
      </c>
    </row>
    <row r="20" spans="1:4" x14ac:dyDescent="0.25">
      <c r="A20" s="78" t="s">
        <v>1005</v>
      </c>
      <c r="B20" s="79" t="s">
        <v>1006</v>
      </c>
      <c r="C20" s="80">
        <v>0</v>
      </c>
      <c r="D20" s="80">
        <v>0</v>
      </c>
    </row>
    <row r="21" spans="1:4" x14ac:dyDescent="0.25">
      <c r="A21" s="78" t="s">
        <v>540</v>
      </c>
      <c r="B21" s="79" t="s">
        <v>541</v>
      </c>
      <c r="C21" s="80">
        <v>0</v>
      </c>
      <c r="D21" s="80">
        <v>487170.37</v>
      </c>
    </row>
    <row r="22" spans="1:4" x14ac:dyDescent="0.25">
      <c r="A22" s="78" t="s">
        <v>542</v>
      </c>
      <c r="B22" s="79" t="s">
        <v>543</v>
      </c>
      <c r="C22" s="80">
        <v>8263.5</v>
      </c>
      <c r="D22" s="80">
        <v>0</v>
      </c>
    </row>
    <row r="23" spans="1:4" x14ac:dyDescent="0.25">
      <c r="A23" s="78" t="s">
        <v>648</v>
      </c>
      <c r="B23" s="79" t="s">
        <v>1007</v>
      </c>
      <c r="C23" s="80">
        <v>0</v>
      </c>
      <c r="D23" s="80">
        <v>0</v>
      </c>
    </row>
    <row r="24" spans="1:4" x14ac:dyDescent="0.25">
      <c r="A24" s="78" t="s">
        <v>544</v>
      </c>
      <c r="B24" s="79" t="s">
        <v>545</v>
      </c>
      <c r="C24" s="80">
        <v>233830.25</v>
      </c>
      <c r="D24" s="80">
        <v>0</v>
      </c>
    </row>
    <row r="25" spans="1:4" x14ac:dyDescent="0.25">
      <c r="A25" s="78" t="s">
        <v>546</v>
      </c>
      <c r="B25" s="79" t="s">
        <v>547</v>
      </c>
      <c r="C25" s="80">
        <v>0</v>
      </c>
      <c r="D25" s="80">
        <v>86300.79</v>
      </c>
    </row>
    <row r="26" spans="1:4" x14ac:dyDescent="0.25">
      <c r="A26" s="78" t="s">
        <v>1008</v>
      </c>
      <c r="B26" s="79" t="s">
        <v>707</v>
      </c>
      <c r="C26" s="80">
        <v>0</v>
      </c>
      <c r="D26" s="80">
        <v>0</v>
      </c>
    </row>
    <row r="27" spans="1:4" x14ac:dyDescent="0.25">
      <c r="A27" s="78" t="s">
        <v>548</v>
      </c>
      <c r="B27" s="79" t="s">
        <v>549</v>
      </c>
      <c r="C27" s="80">
        <v>0</v>
      </c>
      <c r="D27" s="80">
        <v>7378.49</v>
      </c>
    </row>
    <row r="28" spans="1:4" x14ac:dyDescent="0.25">
      <c r="A28" s="78" t="s">
        <v>550</v>
      </c>
      <c r="B28" s="79" t="s">
        <v>551</v>
      </c>
      <c r="C28" s="80">
        <v>0</v>
      </c>
      <c r="D28" s="80">
        <v>1237.6300000000001</v>
      </c>
    </row>
    <row r="29" spans="1:4" x14ac:dyDescent="0.25">
      <c r="A29" s="78" t="s">
        <v>706</v>
      </c>
      <c r="B29" s="79" t="s">
        <v>1009</v>
      </c>
      <c r="C29" s="80">
        <v>0</v>
      </c>
      <c r="D29" s="80">
        <v>0</v>
      </c>
    </row>
    <row r="30" spans="1:4" x14ac:dyDescent="0.25">
      <c r="A30" s="78" t="s">
        <v>552</v>
      </c>
      <c r="B30" s="79" t="s">
        <v>553</v>
      </c>
      <c r="C30" s="80">
        <v>0</v>
      </c>
      <c r="D30" s="80">
        <v>5997.99</v>
      </c>
    </row>
    <row r="31" spans="1:4" x14ac:dyDescent="0.25">
      <c r="A31" s="78" t="s">
        <v>1010</v>
      </c>
      <c r="B31" s="79" t="s">
        <v>1011</v>
      </c>
      <c r="C31" s="80">
        <v>0</v>
      </c>
      <c r="D31" s="80">
        <v>0</v>
      </c>
    </row>
    <row r="32" spans="1:4" x14ac:dyDescent="0.25">
      <c r="A32" s="78" t="s">
        <v>1012</v>
      </c>
      <c r="B32" s="79" t="s">
        <v>1013</v>
      </c>
      <c r="C32" s="80">
        <v>0</v>
      </c>
      <c r="D32" s="80">
        <v>0</v>
      </c>
    </row>
    <row r="33" spans="1:4" x14ac:dyDescent="0.25">
      <c r="A33" s="78" t="s">
        <v>1014</v>
      </c>
      <c r="B33" s="79" t="s">
        <v>1015</v>
      </c>
      <c r="C33" s="80">
        <v>0</v>
      </c>
      <c r="D33" s="80">
        <v>0</v>
      </c>
    </row>
    <row r="34" spans="1:4" x14ac:dyDescent="0.25">
      <c r="A34" s="78" t="s">
        <v>1016</v>
      </c>
      <c r="B34" s="79" t="s">
        <v>1017</v>
      </c>
      <c r="C34" s="80">
        <v>0</v>
      </c>
      <c r="D34" s="80">
        <v>0</v>
      </c>
    </row>
    <row r="35" spans="1:4" x14ac:dyDescent="0.25">
      <c r="A35" s="78" t="s">
        <v>709</v>
      </c>
      <c r="B35" s="79" t="s">
        <v>1018</v>
      </c>
      <c r="C35" s="80">
        <v>0</v>
      </c>
      <c r="D35" s="80">
        <v>0</v>
      </c>
    </row>
    <row r="36" spans="1:4" x14ac:dyDescent="0.25">
      <c r="A36" s="78" t="s">
        <v>1019</v>
      </c>
      <c r="B36" s="79" t="s">
        <v>1020</v>
      </c>
      <c r="C36" s="80">
        <v>0</v>
      </c>
      <c r="D36" s="80">
        <v>0</v>
      </c>
    </row>
    <row r="37" spans="1:4" x14ac:dyDescent="0.25">
      <c r="A37" s="78" t="s">
        <v>1021</v>
      </c>
      <c r="B37" s="79" t="s">
        <v>1022</v>
      </c>
      <c r="C37" s="80">
        <v>0</v>
      </c>
      <c r="D37" s="80">
        <v>0</v>
      </c>
    </row>
    <row r="38" spans="1:4" x14ac:dyDescent="0.25">
      <c r="A38" s="78" t="s">
        <v>554</v>
      </c>
      <c r="B38" s="79" t="s">
        <v>555</v>
      </c>
      <c r="C38" s="80">
        <v>204108.52</v>
      </c>
      <c r="D38" s="80">
        <v>0</v>
      </c>
    </row>
    <row r="39" spans="1:4" x14ac:dyDescent="0.25">
      <c r="A39" s="78" t="s">
        <v>723</v>
      </c>
      <c r="B39" s="79" t="s">
        <v>1023</v>
      </c>
      <c r="C39" s="80">
        <v>0</v>
      </c>
      <c r="D39" s="80">
        <v>0</v>
      </c>
    </row>
    <row r="40" spans="1:4" x14ac:dyDescent="0.25">
      <c r="A40" s="78" t="s">
        <v>1024</v>
      </c>
      <c r="B40" s="79" t="s">
        <v>1025</v>
      </c>
      <c r="C40" s="80">
        <v>0</v>
      </c>
      <c r="D40" s="80">
        <v>40</v>
      </c>
    </row>
    <row r="41" spans="1:4" x14ac:dyDescent="0.25">
      <c r="A41" s="78" t="s">
        <v>1026</v>
      </c>
      <c r="B41" s="79" t="s">
        <v>1027</v>
      </c>
      <c r="C41" s="80">
        <v>0</v>
      </c>
      <c r="D41" s="80">
        <v>0</v>
      </c>
    </row>
    <row r="42" spans="1:4" x14ac:dyDescent="0.25">
      <c r="A42" s="78" t="s">
        <v>556</v>
      </c>
      <c r="B42" s="79" t="s">
        <v>557</v>
      </c>
      <c r="C42" s="80">
        <v>0</v>
      </c>
      <c r="D42" s="80">
        <v>34258.629999999997</v>
      </c>
    </row>
    <row r="43" spans="1:4" x14ac:dyDescent="0.25">
      <c r="A43" s="78" t="s">
        <v>728</v>
      </c>
      <c r="B43" s="79" t="s">
        <v>1028</v>
      </c>
      <c r="C43" s="80">
        <v>0</v>
      </c>
      <c r="D43" s="80">
        <v>0</v>
      </c>
    </row>
    <row r="44" spans="1:4" x14ac:dyDescent="0.25">
      <c r="A44" s="78" t="s">
        <v>732</v>
      </c>
      <c r="B44" s="79" t="s">
        <v>1029</v>
      </c>
      <c r="C44" s="80">
        <v>0</v>
      </c>
      <c r="D44" s="80">
        <v>0</v>
      </c>
    </row>
    <row r="45" spans="1:4" x14ac:dyDescent="0.25">
      <c r="A45" s="78" t="s">
        <v>1030</v>
      </c>
      <c r="B45" s="79" t="s">
        <v>1031</v>
      </c>
      <c r="C45" s="80">
        <v>0</v>
      </c>
      <c r="D45" s="80">
        <v>0</v>
      </c>
    </row>
    <row r="46" spans="1:4" x14ac:dyDescent="0.25">
      <c r="A46" s="78" t="s">
        <v>738</v>
      </c>
      <c r="B46" s="79" t="s">
        <v>1032</v>
      </c>
      <c r="C46" s="80">
        <v>0</v>
      </c>
      <c r="D46" s="80">
        <v>0</v>
      </c>
    </row>
    <row r="47" spans="1:4" x14ac:dyDescent="0.25">
      <c r="A47" s="78" t="s">
        <v>740</v>
      </c>
      <c r="B47" s="79" t="s">
        <v>1033</v>
      </c>
      <c r="C47" s="80">
        <v>0</v>
      </c>
      <c r="D47" s="80">
        <v>0</v>
      </c>
    </row>
    <row r="48" spans="1:4" x14ac:dyDescent="0.25">
      <c r="A48" s="78" t="s">
        <v>1034</v>
      </c>
      <c r="B48" s="79" t="s">
        <v>1035</v>
      </c>
      <c r="C48" s="80">
        <v>0</v>
      </c>
      <c r="D48" s="80">
        <v>23373.83</v>
      </c>
    </row>
    <row r="49" spans="1:4" x14ac:dyDescent="0.25">
      <c r="A49" s="78" t="s">
        <v>558</v>
      </c>
      <c r="B49" s="79" t="s">
        <v>559</v>
      </c>
      <c r="C49" s="80">
        <v>0</v>
      </c>
      <c r="D49" s="80">
        <v>0</v>
      </c>
    </row>
    <row r="50" spans="1:4" x14ac:dyDescent="0.25">
      <c r="A50" s="78" t="s">
        <v>1036</v>
      </c>
      <c r="B50" s="79" t="s">
        <v>1037</v>
      </c>
      <c r="C50" s="80">
        <v>0</v>
      </c>
      <c r="D50" s="80">
        <v>0</v>
      </c>
    </row>
    <row r="51" spans="1:4" x14ac:dyDescent="0.25">
      <c r="A51" s="78" t="s">
        <v>1038</v>
      </c>
      <c r="B51" s="79" t="s">
        <v>1039</v>
      </c>
      <c r="C51" s="80">
        <v>0</v>
      </c>
      <c r="D51" s="80">
        <v>0</v>
      </c>
    </row>
    <row r="52" spans="1:4" x14ac:dyDescent="0.25">
      <c r="A52" s="78" t="s">
        <v>1040</v>
      </c>
      <c r="B52" s="79" t="s">
        <v>1041</v>
      </c>
      <c r="C52" s="80">
        <v>0</v>
      </c>
      <c r="D52" s="80">
        <v>0</v>
      </c>
    </row>
    <row r="53" spans="1:4" x14ac:dyDescent="0.25">
      <c r="A53" s="78" t="s">
        <v>1042</v>
      </c>
      <c r="B53" s="79" t="s">
        <v>1043</v>
      </c>
      <c r="C53" s="80">
        <v>0</v>
      </c>
      <c r="D53" s="80">
        <v>260.87</v>
      </c>
    </row>
    <row r="54" spans="1:4" x14ac:dyDescent="0.25">
      <c r="A54" s="78" t="s">
        <v>1044</v>
      </c>
      <c r="B54" s="79" t="s">
        <v>1045</v>
      </c>
      <c r="C54" s="80">
        <v>0</v>
      </c>
      <c r="D54" s="80">
        <v>0</v>
      </c>
    </row>
    <row r="55" spans="1:4" x14ac:dyDescent="0.25">
      <c r="A55" s="78" t="s">
        <v>1046</v>
      </c>
      <c r="B55" s="79" t="s">
        <v>1047</v>
      </c>
      <c r="C55" s="80">
        <v>0</v>
      </c>
      <c r="D55" s="80">
        <v>1135</v>
      </c>
    </row>
    <row r="56" spans="1:4" x14ac:dyDescent="0.25">
      <c r="A56" s="78" t="s">
        <v>1048</v>
      </c>
      <c r="B56" s="79" t="s">
        <v>1049</v>
      </c>
      <c r="C56" s="80">
        <v>0</v>
      </c>
      <c r="D56" s="80">
        <v>0</v>
      </c>
    </row>
    <row r="57" spans="1:4" x14ac:dyDescent="0.25">
      <c r="A57" s="78" t="s">
        <v>1050</v>
      </c>
      <c r="B57" s="79" t="s">
        <v>1051</v>
      </c>
      <c r="C57" s="80">
        <v>0</v>
      </c>
      <c r="D57" s="80">
        <v>0</v>
      </c>
    </row>
    <row r="58" spans="1:4" x14ac:dyDescent="0.25">
      <c r="A58" s="78" t="s">
        <v>1052</v>
      </c>
      <c r="B58" s="79" t="s">
        <v>1053</v>
      </c>
      <c r="C58" s="80">
        <v>0</v>
      </c>
      <c r="D58" s="80">
        <v>0</v>
      </c>
    </row>
    <row r="59" spans="1:4" x14ac:dyDescent="0.25">
      <c r="A59" s="78" t="s">
        <v>1054</v>
      </c>
      <c r="B59" s="79" t="s">
        <v>1055</v>
      </c>
      <c r="C59" s="80">
        <v>0</v>
      </c>
      <c r="D59" s="80">
        <v>0</v>
      </c>
    </row>
    <row r="60" spans="1:4" x14ac:dyDescent="0.25">
      <c r="A60" s="78" t="s">
        <v>1056</v>
      </c>
      <c r="B60" s="79" t="s">
        <v>1057</v>
      </c>
      <c r="C60" s="80">
        <v>0</v>
      </c>
      <c r="D60" s="80">
        <v>0</v>
      </c>
    </row>
    <row r="61" spans="1:4" x14ac:dyDescent="0.25">
      <c r="A61" s="78" t="s">
        <v>744</v>
      </c>
      <c r="B61" s="79" t="s">
        <v>1058</v>
      </c>
      <c r="C61" s="80">
        <v>0</v>
      </c>
      <c r="D61" s="80">
        <v>0</v>
      </c>
    </row>
    <row r="62" spans="1:4" x14ac:dyDescent="0.25">
      <c r="A62" s="78" t="s">
        <v>1059</v>
      </c>
      <c r="B62" s="79" t="s">
        <v>1060</v>
      </c>
      <c r="C62" s="80">
        <v>0</v>
      </c>
      <c r="D62" s="80">
        <v>2500</v>
      </c>
    </row>
    <row r="63" spans="1:4" x14ac:dyDescent="0.25">
      <c r="A63" s="78" t="s">
        <v>1061</v>
      </c>
      <c r="B63" s="79" t="s">
        <v>1062</v>
      </c>
      <c r="C63" s="80">
        <v>0</v>
      </c>
      <c r="D63" s="80">
        <v>0</v>
      </c>
    </row>
    <row r="64" spans="1:4" x14ac:dyDescent="0.25">
      <c r="A64" s="78" t="s">
        <v>560</v>
      </c>
      <c r="B64" s="79" t="s">
        <v>561</v>
      </c>
      <c r="C64" s="80">
        <v>0</v>
      </c>
      <c r="D64" s="80">
        <v>2325</v>
      </c>
    </row>
    <row r="65" spans="1:4" x14ac:dyDescent="0.25">
      <c r="A65" s="78" t="s">
        <v>1063</v>
      </c>
      <c r="B65" s="79" t="s">
        <v>1064</v>
      </c>
      <c r="C65" s="80">
        <v>0</v>
      </c>
      <c r="D65" s="80">
        <v>0</v>
      </c>
    </row>
    <row r="66" spans="1:4" x14ac:dyDescent="0.25">
      <c r="A66" s="78" t="s">
        <v>562</v>
      </c>
      <c r="B66" s="79" t="s">
        <v>563</v>
      </c>
      <c r="C66" s="80">
        <v>0</v>
      </c>
      <c r="D66" s="80">
        <v>565.22</v>
      </c>
    </row>
    <row r="67" spans="1:4" x14ac:dyDescent="0.25">
      <c r="A67" s="78" t="s">
        <v>564</v>
      </c>
      <c r="B67" s="79" t="s">
        <v>565</v>
      </c>
      <c r="C67" s="80">
        <v>0</v>
      </c>
      <c r="D67" s="80">
        <v>0</v>
      </c>
    </row>
    <row r="68" spans="1:4" x14ac:dyDescent="0.25">
      <c r="A68" s="78" t="s">
        <v>1065</v>
      </c>
      <c r="B68" s="79" t="s">
        <v>1066</v>
      </c>
      <c r="C68" s="80">
        <v>0</v>
      </c>
      <c r="D68" s="80">
        <v>0</v>
      </c>
    </row>
    <row r="69" spans="1:4" x14ac:dyDescent="0.25">
      <c r="A69" s="78" t="s">
        <v>1067</v>
      </c>
      <c r="B69" s="79" t="s">
        <v>1068</v>
      </c>
      <c r="C69" s="80">
        <v>0</v>
      </c>
      <c r="D69" s="80">
        <v>0</v>
      </c>
    </row>
    <row r="70" spans="1:4" x14ac:dyDescent="0.25">
      <c r="A70" s="78" t="s">
        <v>566</v>
      </c>
      <c r="B70" s="79" t="s">
        <v>567</v>
      </c>
      <c r="C70" s="80">
        <v>0</v>
      </c>
      <c r="D70" s="80">
        <v>8500</v>
      </c>
    </row>
    <row r="71" spans="1:4" x14ac:dyDescent="0.25">
      <c r="A71" s="78" t="s">
        <v>568</v>
      </c>
      <c r="B71" s="79" t="s">
        <v>569</v>
      </c>
      <c r="C71" s="80">
        <v>0</v>
      </c>
      <c r="D71" s="80">
        <v>4647</v>
      </c>
    </row>
    <row r="72" spans="1:4" x14ac:dyDescent="0.25">
      <c r="A72" s="78" t="s">
        <v>570</v>
      </c>
      <c r="B72" s="79" t="s">
        <v>571</v>
      </c>
      <c r="C72" s="80">
        <v>0</v>
      </c>
      <c r="D72" s="80">
        <v>8274.24</v>
      </c>
    </row>
    <row r="73" spans="1:4" x14ac:dyDescent="0.25">
      <c r="A73" s="78" t="s">
        <v>1069</v>
      </c>
      <c r="B73" s="79" t="s">
        <v>1070</v>
      </c>
      <c r="C73" s="80">
        <v>0</v>
      </c>
      <c r="D73" s="80">
        <v>0</v>
      </c>
    </row>
    <row r="74" spans="1:4" x14ac:dyDescent="0.25">
      <c r="A74" s="78" t="s">
        <v>572</v>
      </c>
      <c r="B74" s="79" t="s">
        <v>573</v>
      </c>
      <c r="C74" s="80">
        <v>0</v>
      </c>
      <c r="D74" s="80">
        <v>0</v>
      </c>
    </row>
    <row r="75" spans="1:4" x14ac:dyDescent="0.25">
      <c r="A75" s="78" t="s">
        <v>574</v>
      </c>
      <c r="B75" s="79" t="s">
        <v>575</v>
      </c>
      <c r="C75" s="80">
        <v>0</v>
      </c>
      <c r="D75" s="80">
        <v>161.62</v>
      </c>
    </row>
    <row r="76" spans="1:4" x14ac:dyDescent="0.25">
      <c r="A76" s="78" t="s">
        <v>769</v>
      </c>
      <c r="B76" s="79" t="s">
        <v>1071</v>
      </c>
      <c r="C76" s="80">
        <v>0</v>
      </c>
      <c r="D76" s="80">
        <v>0</v>
      </c>
    </row>
    <row r="77" spans="1:4" x14ac:dyDescent="0.25">
      <c r="A77" s="78" t="s">
        <v>771</v>
      </c>
      <c r="B77" s="79" t="s">
        <v>1072</v>
      </c>
      <c r="C77" s="80">
        <v>0</v>
      </c>
      <c r="D77" s="80">
        <v>0</v>
      </c>
    </row>
    <row r="78" spans="1:4" x14ac:dyDescent="0.25">
      <c r="A78" s="78" t="s">
        <v>1073</v>
      </c>
      <c r="B78" s="79" t="s">
        <v>1074</v>
      </c>
      <c r="C78" s="80">
        <v>0</v>
      </c>
      <c r="D78" s="80">
        <v>0</v>
      </c>
    </row>
    <row r="79" spans="1:4" x14ac:dyDescent="0.25">
      <c r="A79" s="78" t="s">
        <v>576</v>
      </c>
      <c r="B79" s="79" t="s">
        <v>577</v>
      </c>
      <c r="C79" s="80">
        <v>0</v>
      </c>
      <c r="D79" s="80">
        <v>0</v>
      </c>
    </row>
    <row r="80" spans="1:4" x14ac:dyDescent="0.25">
      <c r="A80" s="78" t="s">
        <v>578</v>
      </c>
      <c r="B80" s="79" t="s">
        <v>579</v>
      </c>
      <c r="C80" s="80">
        <v>0</v>
      </c>
      <c r="D80" s="80">
        <v>36732.68</v>
      </c>
    </row>
    <row r="81" spans="1:4" x14ac:dyDescent="0.25">
      <c r="A81" s="78" t="s">
        <v>1075</v>
      </c>
      <c r="B81" s="79" t="s">
        <v>1076</v>
      </c>
      <c r="C81" s="80">
        <v>0</v>
      </c>
      <c r="D81" s="80">
        <v>0</v>
      </c>
    </row>
    <row r="82" spans="1:4" x14ac:dyDescent="0.25">
      <c r="A82" s="78" t="s">
        <v>580</v>
      </c>
      <c r="B82" s="79" t="s">
        <v>581</v>
      </c>
      <c r="C82" s="80">
        <v>0</v>
      </c>
      <c r="D82" s="80">
        <v>0</v>
      </c>
    </row>
    <row r="83" spans="1:4" x14ac:dyDescent="0.25">
      <c r="A83" s="78" t="s">
        <v>2049</v>
      </c>
      <c r="B83" s="79" t="s">
        <v>2071</v>
      </c>
      <c r="C83" s="80">
        <v>0</v>
      </c>
      <c r="D83" s="80">
        <v>8435</v>
      </c>
    </row>
    <row r="84" spans="1:4" x14ac:dyDescent="0.25">
      <c r="A84" s="78" t="s">
        <v>2050</v>
      </c>
      <c r="B84" s="79" t="s">
        <v>2048</v>
      </c>
      <c r="C84" s="80">
        <v>0</v>
      </c>
      <c r="D84" s="80">
        <v>0</v>
      </c>
    </row>
    <row r="85" spans="1:4" x14ac:dyDescent="0.25">
      <c r="A85" s="78" t="s">
        <v>582</v>
      </c>
      <c r="B85" s="79" t="s">
        <v>583</v>
      </c>
      <c r="C85" s="80">
        <v>36688.769999999997</v>
      </c>
      <c r="D85" s="80">
        <v>0</v>
      </c>
    </row>
    <row r="86" spans="1:4" x14ac:dyDescent="0.25">
      <c r="A86" s="78" t="s">
        <v>1077</v>
      </c>
      <c r="B86" s="79" t="s">
        <v>1078</v>
      </c>
      <c r="C86" s="80">
        <v>0</v>
      </c>
      <c r="D86" s="80">
        <v>0</v>
      </c>
    </row>
    <row r="87" spans="1:4" x14ac:dyDescent="0.25">
      <c r="A87" s="78" t="s">
        <v>1079</v>
      </c>
      <c r="B87" s="79" t="s">
        <v>1080</v>
      </c>
      <c r="C87" s="80">
        <v>0</v>
      </c>
      <c r="D87" s="80">
        <v>0</v>
      </c>
    </row>
    <row r="88" spans="1:4" x14ac:dyDescent="0.25">
      <c r="A88" s="78" t="s">
        <v>1081</v>
      </c>
      <c r="B88" s="79" t="s">
        <v>824</v>
      </c>
      <c r="C88" s="80">
        <v>0</v>
      </c>
      <c r="D88" s="80">
        <v>0</v>
      </c>
    </row>
    <row r="89" spans="1:4" x14ac:dyDescent="0.25">
      <c r="A89" s="78" t="s">
        <v>1082</v>
      </c>
      <c r="B89" s="79" t="s">
        <v>1083</v>
      </c>
      <c r="C89" s="80">
        <v>0</v>
      </c>
      <c r="D89" s="80">
        <v>0</v>
      </c>
    </row>
    <row r="90" spans="1:4" x14ac:dyDescent="0.25">
      <c r="A90" s="78" t="s">
        <v>1084</v>
      </c>
      <c r="B90" s="79" t="s">
        <v>1085</v>
      </c>
      <c r="C90" s="80">
        <v>0</v>
      </c>
      <c r="D90" s="80">
        <v>0</v>
      </c>
    </row>
    <row r="91" spans="1:4" x14ac:dyDescent="0.25">
      <c r="A91" s="78" t="s">
        <v>584</v>
      </c>
      <c r="B91" s="79" t="s">
        <v>585</v>
      </c>
      <c r="C91" s="80">
        <v>1002.04</v>
      </c>
      <c r="D91" s="80">
        <v>0</v>
      </c>
    </row>
    <row r="92" spans="1:4" x14ac:dyDescent="0.25">
      <c r="A92" s="78" t="s">
        <v>1086</v>
      </c>
      <c r="B92" s="79" t="s">
        <v>1087</v>
      </c>
      <c r="C92" s="80">
        <v>0</v>
      </c>
      <c r="D92" s="80">
        <v>0</v>
      </c>
    </row>
    <row r="93" spans="1:4" x14ac:dyDescent="0.25">
      <c r="A93" s="78" t="s">
        <v>1088</v>
      </c>
      <c r="B93" s="79" t="s">
        <v>1089</v>
      </c>
      <c r="C93" s="80">
        <v>0</v>
      </c>
      <c r="D93" s="80">
        <v>0</v>
      </c>
    </row>
    <row r="94" spans="1:4" x14ac:dyDescent="0.25">
      <c r="A94" s="78" t="s">
        <v>586</v>
      </c>
      <c r="B94" s="79" t="s">
        <v>587</v>
      </c>
      <c r="C94" s="80">
        <v>2245.56</v>
      </c>
      <c r="D94" s="80">
        <v>0</v>
      </c>
    </row>
    <row r="95" spans="1:4" x14ac:dyDescent="0.25">
      <c r="A95" s="78" t="s">
        <v>588</v>
      </c>
      <c r="B95" s="79" t="s">
        <v>589</v>
      </c>
      <c r="C95" s="80">
        <v>166.21</v>
      </c>
      <c r="D95" s="80">
        <v>0</v>
      </c>
    </row>
    <row r="96" spans="1:4" x14ac:dyDescent="0.25">
      <c r="A96" s="78" t="s">
        <v>590</v>
      </c>
      <c r="B96" s="79" t="s">
        <v>591</v>
      </c>
      <c r="C96" s="80">
        <v>1476.18</v>
      </c>
      <c r="D96" s="80">
        <v>0</v>
      </c>
    </row>
    <row r="97" spans="1:4" x14ac:dyDescent="0.25">
      <c r="A97" s="78" t="s">
        <v>592</v>
      </c>
      <c r="B97" s="79" t="s">
        <v>593</v>
      </c>
      <c r="C97" s="80">
        <v>0</v>
      </c>
      <c r="D97" s="80">
        <v>0</v>
      </c>
    </row>
    <row r="98" spans="1:4" x14ac:dyDescent="0.25">
      <c r="A98" s="78" t="s">
        <v>1090</v>
      </c>
      <c r="B98" s="79" t="s">
        <v>1091</v>
      </c>
      <c r="C98" s="80">
        <v>0</v>
      </c>
      <c r="D98" s="80">
        <v>0</v>
      </c>
    </row>
    <row r="99" spans="1:4" x14ac:dyDescent="0.25">
      <c r="A99" s="78" t="s">
        <v>594</v>
      </c>
      <c r="B99" s="79" t="s">
        <v>595</v>
      </c>
      <c r="C99" s="80">
        <v>1290.53</v>
      </c>
      <c r="D99" s="80">
        <v>0</v>
      </c>
    </row>
    <row r="100" spans="1:4" x14ac:dyDescent="0.25">
      <c r="A100" s="78" t="s">
        <v>1092</v>
      </c>
      <c r="B100" s="79" t="s">
        <v>1093</v>
      </c>
      <c r="C100" s="80">
        <v>0</v>
      </c>
      <c r="D100" s="80">
        <v>0</v>
      </c>
    </row>
    <row r="101" spans="1:4" x14ac:dyDescent="0.25">
      <c r="A101" s="78" t="s">
        <v>1094</v>
      </c>
      <c r="B101" s="79" t="s">
        <v>1095</v>
      </c>
      <c r="C101" s="80">
        <v>0</v>
      </c>
      <c r="D101" s="80">
        <v>0</v>
      </c>
    </row>
    <row r="102" spans="1:4" x14ac:dyDescent="0.25">
      <c r="A102" s="78" t="s">
        <v>596</v>
      </c>
      <c r="B102" s="79" t="s">
        <v>597</v>
      </c>
      <c r="C102" s="80">
        <v>852.83</v>
      </c>
      <c r="D102" s="80">
        <v>0</v>
      </c>
    </row>
    <row r="103" spans="1:4" x14ac:dyDescent="0.25">
      <c r="A103" s="78" t="s">
        <v>598</v>
      </c>
      <c r="B103" s="79" t="s">
        <v>599</v>
      </c>
      <c r="C103" s="80">
        <v>828.35</v>
      </c>
      <c r="D103" s="80">
        <v>0</v>
      </c>
    </row>
    <row r="104" spans="1:4" x14ac:dyDescent="0.25">
      <c r="A104" s="78" t="s">
        <v>600</v>
      </c>
      <c r="B104" s="79" t="s">
        <v>601</v>
      </c>
      <c r="C104" s="80">
        <v>906.51</v>
      </c>
      <c r="D104" s="80">
        <v>0</v>
      </c>
    </row>
    <row r="105" spans="1:4" x14ac:dyDescent="0.25">
      <c r="A105" s="78" t="s">
        <v>1096</v>
      </c>
      <c r="B105" s="79" t="s">
        <v>1097</v>
      </c>
      <c r="C105" s="80">
        <v>0</v>
      </c>
      <c r="D105" s="80">
        <v>0</v>
      </c>
    </row>
    <row r="106" spans="1:4" x14ac:dyDescent="0.25">
      <c r="A106" s="78" t="s">
        <v>1098</v>
      </c>
      <c r="B106" s="79" t="s">
        <v>1099</v>
      </c>
      <c r="C106" s="80">
        <v>0</v>
      </c>
      <c r="D106" s="80">
        <v>0</v>
      </c>
    </row>
    <row r="107" spans="1:4" x14ac:dyDescent="0.25">
      <c r="A107" s="78" t="s">
        <v>602</v>
      </c>
      <c r="B107" s="79" t="s">
        <v>603</v>
      </c>
      <c r="C107" s="80">
        <v>0</v>
      </c>
      <c r="D107" s="80">
        <v>0</v>
      </c>
    </row>
    <row r="108" spans="1:4" x14ac:dyDescent="0.25">
      <c r="A108" s="78" t="s">
        <v>604</v>
      </c>
      <c r="B108" s="79" t="s">
        <v>605</v>
      </c>
      <c r="C108" s="80">
        <v>31953.4</v>
      </c>
      <c r="D108" s="80">
        <v>0</v>
      </c>
    </row>
    <row r="109" spans="1:4" x14ac:dyDescent="0.25">
      <c r="A109" s="78" t="s">
        <v>606</v>
      </c>
      <c r="B109" s="79" t="s">
        <v>607</v>
      </c>
      <c r="C109" s="80">
        <v>5753.14</v>
      </c>
      <c r="D109" s="80">
        <v>0</v>
      </c>
    </row>
    <row r="110" spans="1:4" x14ac:dyDescent="0.25">
      <c r="A110" s="78" t="s">
        <v>1100</v>
      </c>
      <c r="B110" s="79" t="s">
        <v>860</v>
      </c>
      <c r="C110" s="80">
        <v>27.32</v>
      </c>
      <c r="D110" s="80">
        <v>0</v>
      </c>
    </row>
    <row r="111" spans="1:4" x14ac:dyDescent="0.25">
      <c r="A111" s="78" t="s">
        <v>1101</v>
      </c>
      <c r="B111" s="79" t="s">
        <v>1102</v>
      </c>
      <c r="C111" s="80">
        <v>0</v>
      </c>
      <c r="D111" s="80">
        <v>0</v>
      </c>
    </row>
    <row r="112" spans="1:4" x14ac:dyDescent="0.25">
      <c r="A112" s="78" t="s">
        <v>608</v>
      </c>
      <c r="B112" s="79" t="s">
        <v>609</v>
      </c>
      <c r="C112" s="80">
        <v>11146.61</v>
      </c>
      <c r="D112" s="80">
        <v>0</v>
      </c>
    </row>
    <row r="113" spans="1:4" x14ac:dyDescent="0.25">
      <c r="A113" s="78" t="s">
        <v>610</v>
      </c>
      <c r="B113" s="79" t="s">
        <v>611</v>
      </c>
      <c r="C113" s="80">
        <v>4059.65</v>
      </c>
      <c r="D113" s="80">
        <v>0</v>
      </c>
    </row>
    <row r="114" spans="1:4" x14ac:dyDescent="0.25">
      <c r="A114" s="78" t="s">
        <v>612</v>
      </c>
      <c r="B114" s="79" t="s">
        <v>613</v>
      </c>
      <c r="C114" s="80">
        <v>246</v>
      </c>
      <c r="D114" s="80">
        <v>0</v>
      </c>
    </row>
    <row r="115" spans="1:4" x14ac:dyDescent="0.25">
      <c r="A115" s="78" t="s">
        <v>614</v>
      </c>
      <c r="B115" s="79" t="s">
        <v>615</v>
      </c>
      <c r="C115" s="80">
        <v>900</v>
      </c>
      <c r="D115" s="80">
        <v>0</v>
      </c>
    </row>
    <row r="116" spans="1:4" x14ac:dyDescent="0.25">
      <c r="A116" s="78" t="s">
        <v>616</v>
      </c>
      <c r="B116" s="79" t="s">
        <v>617</v>
      </c>
      <c r="C116" s="80">
        <v>7659.75</v>
      </c>
      <c r="D116" s="80">
        <v>0</v>
      </c>
    </row>
    <row r="117" spans="1:4" x14ac:dyDescent="0.25">
      <c r="A117" s="78" t="s">
        <v>618</v>
      </c>
      <c r="B117" s="79" t="s">
        <v>619</v>
      </c>
      <c r="C117" s="80">
        <v>359.06</v>
      </c>
      <c r="D117" s="80">
        <v>0</v>
      </c>
    </row>
    <row r="118" spans="1:4" x14ac:dyDescent="0.25">
      <c r="A118" s="78" t="s">
        <v>1103</v>
      </c>
      <c r="B118" s="79" t="s">
        <v>1104</v>
      </c>
      <c r="C118" s="80">
        <v>0</v>
      </c>
      <c r="D118" s="80">
        <v>0</v>
      </c>
    </row>
    <row r="119" spans="1:4" x14ac:dyDescent="0.25">
      <c r="A119" s="78" t="s">
        <v>1105</v>
      </c>
      <c r="B119" s="79" t="s">
        <v>1106</v>
      </c>
      <c r="C119" s="80">
        <v>0</v>
      </c>
      <c r="D119" s="80">
        <v>0</v>
      </c>
    </row>
    <row r="120" spans="1:4" x14ac:dyDescent="0.25">
      <c r="A120" s="78" t="s">
        <v>1107</v>
      </c>
      <c r="B120" s="79" t="s">
        <v>839</v>
      </c>
      <c r="C120" s="80">
        <v>0</v>
      </c>
      <c r="D120" s="80">
        <v>0</v>
      </c>
    </row>
    <row r="121" spans="1:4" x14ac:dyDescent="0.25">
      <c r="A121" s="78" t="s">
        <v>1108</v>
      </c>
      <c r="B121" s="79" t="s">
        <v>1109</v>
      </c>
      <c r="C121" s="80">
        <v>0</v>
      </c>
      <c r="D121" s="80">
        <v>0</v>
      </c>
    </row>
    <row r="122" spans="1:4" x14ac:dyDescent="0.25">
      <c r="A122" s="78" t="s">
        <v>1110</v>
      </c>
      <c r="B122" s="79" t="s">
        <v>1111</v>
      </c>
      <c r="C122" s="80">
        <v>805.79</v>
      </c>
      <c r="D122" s="80">
        <v>0</v>
      </c>
    </row>
    <row r="123" spans="1:4" x14ac:dyDescent="0.25">
      <c r="A123" s="78" t="s">
        <v>1112</v>
      </c>
      <c r="B123" s="79" t="s">
        <v>1113</v>
      </c>
      <c r="C123" s="80">
        <v>0</v>
      </c>
      <c r="D123" s="80">
        <v>0</v>
      </c>
    </row>
    <row r="124" spans="1:4" x14ac:dyDescent="0.25">
      <c r="A124" s="78" t="s">
        <v>620</v>
      </c>
      <c r="B124" s="79" t="s">
        <v>621</v>
      </c>
      <c r="C124" s="80">
        <v>5353.68</v>
      </c>
      <c r="D124" s="80">
        <v>0</v>
      </c>
    </row>
    <row r="125" spans="1:4" x14ac:dyDescent="0.25">
      <c r="A125" s="78" t="s">
        <v>1114</v>
      </c>
      <c r="B125" s="79" t="s">
        <v>1115</v>
      </c>
      <c r="C125" s="80">
        <v>0</v>
      </c>
      <c r="D125" s="80">
        <v>0</v>
      </c>
    </row>
    <row r="126" spans="1:4" x14ac:dyDescent="0.25">
      <c r="A126" s="78" t="s">
        <v>622</v>
      </c>
      <c r="B126" s="79" t="s">
        <v>623</v>
      </c>
      <c r="C126" s="80">
        <v>7291.25</v>
      </c>
      <c r="D126" s="80">
        <v>0</v>
      </c>
    </row>
    <row r="127" spans="1:4" x14ac:dyDescent="0.25">
      <c r="A127" s="78" t="s">
        <v>624</v>
      </c>
      <c r="B127" s="79" t="s">
        <v>625</v>
      </c>
      <c r="C127" s="80">
        <v>640.4</v>
      </c>
      <c r="D127" s="80">
        <v>0</v>
      </c>
    </row>
    <row r="128" spans="1:4" x14ac:dyDescent="0.25">
      <c r="A128" s="78" t="s">
        <v>1116</v>
      </c>
      <c r="B128" s="79" t="s">
        <v>1117</v>
      </c>
      <c r="C128" s="80">
        <v>0</v>
      </c>
      <c r="D128" s="80">
        <v>0</v>
      </c>
    </row>
    <row r="129" spans="1:4" x14ac:dyDescent="0.25">
      <c r="A129" s="78" t="s">
        <v>1118</v>
      </c>
      <c r="B129" s="79" t="s">
        <v>1119</v>
      </c>
      <c r="C129" s="80">
        <v>0</v>
      </c>
      <c r="D129" s="80">
        <v>0</v>
      </c>
    </row>
    <row r="130" spans="1:4" x14ac:dyDescent="0.25">
      <c r="A130" s="78" t="s">
        <v>626</v>
      </c>
      <c r="B130" s="79" t="s">
        <v>627</v>
      </c>
      <c r="C130" s="80">
        <v>75</v>
      </c>
      <c r="D130" s="80">
        <v>0</v>
      </c>
    </row>
    <row r="131" spans="1:4" x14ac:dyDescent="0.25">
      <c r="A131" s="78" t="s">
        <v>628</v>
      </c>
      <c r="B131" s="79" t="s">
        <v>629</v>
      </c>
      <c r="C131" s="80">
        <v>15070.68</v>
      </c>
      <c r="D131" s="80">
        <v>0</v>
      </c>
    </row>
    <row r="132" spans="1:4" x14ac:dyDescent="0.25">
      <c r="A132" s="78" t="s">
        <v>870</v>
      </c>
      <c r="B132" s="79" t="s">
        <v>1120</v>
      </c>
      <c r="C132" s="80">
        <v>0</v>
      </c>
      <c r="D132" s="80">
        <v>0</v>
      </c>
    </row>
    <row r="133" spans="1:4" x14ac:dyDescent="0.25">
      <c r="A133" s="78" t="s">
        <v>1121</v>
      </c>
      <c r="B133" s="79" t="s">
        <v>1122</v>
      </c>
      <c r="C133" s="80">
        <v>0</v>
      </c>
      <c r="D133" s="80">
        <v>0</v>
      </c>
    </row>
    <row r="134" spans="1:4" x14ac:dyDescent="0.25">
      <c r="A134" s="78" t="s">
        <v>1123</v>
      </c>
      <c r="B134" s="79" t="s">
        <v>1124</v>
      </c>
      <c r="C134" s="80">
        <v>0</v>
      </c>
      <c r="D134" s="80">
        <v>0</v>
      </c>
    </row>
    <row r="135" spans="1:4" x14ac:dyDescent="0.25">
      <c r="A135" s="78" t="s">
        <v>630</v>
      </c>
      <c r="B135" s="79" t="s">
        <v>631</v>
      </c>
      <c r="C135" s="80">
        <v>13935.59</v>
      </c>
      <c r="D135" s="80">
        <v>0</v>
      </c>
    </row>
    <row r="136" spans="1:4" x14ac:dyDescent="0.25">
      <c r="A136" s="78" t="s">
        <v>1125</v>
      </c>
      <c r="B136" s="79" t="s">
        <v>1126</v>
      </c>
      <c r="C136" s="80">
        <v>0</v>
      </c>
      <c r="D136" s="80">
        <v>0</v>
      </c>
    </row>
    <row r="137" spans="1:4" x14ac:dyDescent="0.25">
      <c r="A137" s="78" t="s">
        <v>1127</v>
      </c>
      <c r="B137" s="79" t="s">
        <v>1128</v>
      </c>
      <c r="C137" s="80">
        <v>0</v>
      </c>
      <c r="D137" s="80">
        <v>0</v>
      </c>
    </row>
    <row r="138" spans="1:4" x14ac:dyDescent="0.25">
      <c r="A138" s="78" t="s">
        <v>1129</v>
      </c>
      <c r="B138" s="79" t="s">
        <v>1130</v>
      </c>
      <c r="C138" s="80">
        <v>0</v>
      </c>
      <c r="D138" s="80">
        <v>0</v>
      </c>
    </row>
    <row r="139" spans="1:4" x14ac:dyDescent="0.25">
      <c r="A139" s="78" t="s">
        <v>632</v>
      </c>
      <c r="B139" s="79" t="s">
        <v>633</v>
      </c>
      <c r="C139" s="80">
        <v>23292.73</v>
      </c>
      <c r="D139" s="80">
        <v>0</v>
      </c>
    </row>
    <row r="140" spans="1:4" x14ac:dyDescent="0.25">
      <c r="A140" s="78" t="s">
        <v>1131</v>
      </c>
      <c r="B140" s="79" t="s">
        <v>1132</v>
      </c>
      <c r="C140" s="80">
        <v>0</v>
      </c>
      <c r="D140" s="80">
        <v>0</v>
      </c>
    </row>
    <row r="141" spans="1:4" x14ac:dyDescent="0.25">
      <c r="A141" s="78" t="s">
        <v>634</v>
      </c>
      <c r="B141" s="79" t="s">
        <v>635</v>
      </c>
      <c r="C141" s="80">
        <v>971.64</v>
      </c>
      <c r="D141" s="80">
        <v>0</v>
      </c>
    </row>
    <row r="142" spans="1:4" x14ac:dyDescent="0.25">
      <c r="A142" s="78" t="s">
        <v>1133</v>
      </c>
      <c r="B142" s="79" t="s">
        <v>1134</v>
      </c>
      <c r="C142" s="80">
        <v>10.58</v>
      </c>
      <c r="D142" s="80">
        <v>0</v>
      </c>
    </row>
    <row r="143" spans="1:4" x14ac:dyDescent="0.25">
      <c r="A143" s="78" t="s">
        <v>1135</v>
      </c>
      <c r="B143" s="79" t="s">
        <v>1136</v>
      </c>
      <c r="C143" s="80">
        <v>0</v>
      </c>
      <c r="D143" s="80">
        <v>0</v>
      </c>
    </row>
    <row r="144" spans="1:4" x14ac:dyDescent="0.25">
      <c r="A144" s="78" t="s">
        <v>636</v>
      </c>
      <c r="B144" s="79" t="s">
        <v>637</v>
      </c>
      <c r="C144" s="80">
        <v>0</v>
      </c>
      <c r="D144" s="80">
        <v>0</v>
      </c>
    </row>
    <row r="145" spans="1:4" x14ac:dyDescent="0.25">
      <c r="A145" s="78" t="s">
        <v>1137</v>
      </c>
      <c r="B145" s="79" t="s">
        <v>1138</v>
      </c>
      <c r="C145" s="80">
        <v>0</v>
      </c>
      <c r="D145" s="80">
        <v>0</v>
      </c>
    </row>
    <row r="146" spans="1:4" x14ac:dyDescent="0.25">
      <c r="A146" s="78" t="s">
        <v>1139</v>
      </c>
      <c r="B146" s="79" t="s">
        <v>1140</v>
      </c>
      <c r="C146" s="80">
        <v>21165.58</v>
      </c>
      <c r="D146" s="80">
        <v>0</v>
      </c>
    </row>
    <row r="147" spans="1:4" x14ac:dyDescent="0.25">
      <c r="A147" s="78" t="s">
        <v>1141</v>
      </c>
      <c r="B147" s="79" t="s">
        <v>1142</v>
      </c>
      <c r="C147" s="81">
        <v>0</v>
      </c>
      <c r="D147" s="81">
        <v>0</v>
      </c>
    </row>
    <row r="148" spans="1:4" ht="15" customHeight="1" x14ac:dyDescent="0.25"/>
    <row r="149" spans="1:4" ht="15.75" hidden="1" customHeight="1" thickBot="1" x14ac:dyDescent="0.3">
      <c r="A149" s="2"/>
      <c r="B149" s="2"/>
      <c r="C149" s="84">
        <f>SUBTOTAL(9,C6:C147)</f>
        <v>719294.36000000022</v>
      </c>
      <c r="D149" s="84">
        <f>SUBTOTAL(9,D6:D147)</f>
        <v>719294.36</v>
      </c>
    </row>
    <row r="150" spans="1:4" ht="15" hidden="1" customHeight="1" thickTop="1" x14ac:dyDescent="0.25"/>
    <row r="151" spans="1:4" ht="15" hidden="1" customHeight="1" x14ac:dyDescent="0.25">
      <c r="A151" s="236" t="s">
        <v>2086</v>
      </c>
      <c r="B151" s="236"/>
      <c r="C151" s="236"/>
      <c r="D151" s="236"/>
    </row>
    <row r="152" spans="1:4" ht="18" hidden="1" x14ac:dyDescent="0.25">
      <c r="A152" s="23"/>
      <c r="B152" s="24"/>
      <c r="C152" s="25"/>
      <c r="D152" s="25"/>
    </row>
    <row r="153" spans="1:4" ht="18" hidden="1" x14ac:dyDescent="0.25">
      <c r="A153" s="23"/>
      <c r="B153" s="24"/>
      <c r="C153" s="25"/>
      <c r="D153" s="25"/>
    </row>
    <row r="154" spans="1:4" ht="18" hidden="1" x14ac:dyDescent="0.25">
      <c r="A154" s="23"/>
      <c r="B154" s="24"/>
      <c r="C154" s="25"/>
      <c r="D154" s="25"/>
    </row>
    <row r="155" spans="1:4" ht="18" hidden="1" x14ac:dyDescent="0.25">
      <c r="A155" s="23"/>
      <c r="B155" s="24"/>
      <c r="C155" s="25"/>
      <c r="D155" s="25"/>
    </row>
    <row r="156" spans="1:4" ht="18" hidden="1" x14ac:dyDescent="0.25">
      <c r="A156" s="23"/>
      <c r="B156" s="24"/>
      <c r="C156" s="25"/>
      <c r="D156" s="25"/>
    </row>
    <row r="157" spans="1:4" ht="18" hidden="1" x14ac:dyDescent="0.25">
      <c r="A157" s="23"/>
      <c r="B157" s="24"/>
      <c r="C157" s="25"/>
      <c r="D157" s="25"/>
    </row>
    <row r="158" spans="1:4" ht="18" hidden="1" x14ac:dyDescent="0.25">
      <c r="A158" s="23"/>
      <c r="B158" s="24"/>
      <c r="C158" s="25"/>
      <c r="D158" s="25"/>
    </row>
    <row r="159" spans="1:4" ht="18" hidden="1" x14ac:dyDescent="0.25">
      <c r="A159" s="23"/>
      <c r="B159" s="24"/>
      <c r="C159" s="25"/>
      <c r="D159" s="25"/>
    </row>
    <row r="160" spans="1:4" ht="18" hidden="1" x14ac:dyDescent="0.25">
      <c r="A160" s="23"/>
      <c r="B160" s="24"/>
      <c r="C160" s="25"/>
      <c r="D160" s="25"/>
    </row>
    <row r="161" spans="1:4" ht="18" hidden="1" x14ac:dyDescent="0.25">
      <c r="A161" s="23"/>
      <c r="B161" s="24"/>
      <c r="C161" s="25"/>
      <c r="D161" s="25"/>
    </row>
    <row r="162" spans="1:4" ht="18" hidden="1" x14ac:dyDescent="0.25">
      <c r="A162" s="23"/>
      <c r="B162" s="24"/>
      <c r="C162" s="25"/>
      <c r="D162" s="25"/>
    </row>
    <row r="163" spans="1:4" ht="18" hidden="1" x14ac:dyDescent="0.25">
      <c r="A163" s="23"/>
      <c r="B163" s="24"/>
      <c r="C163" s="25"/>
      <c r="D163" s="25"/>
    </row>
    <row r="164" spans="1:4" ht="18" hidden="1" x14ac:dyDescent="0.25">
      <c r="A164" s="23"/>
      <c r="B164" s="24"/>
      <c r="C164" s="25"/>
      <c r="D164" s="25"/>
    </row>
    <row r="165" spans="1:4" ht="18" hidden="1" x14ac:dyDescent="0.25">
      <c r="A165" s="23"/>
      <c r="B165" s="24"/>
      <c r="C165" s="25"/>
      <c r="D165" s="25"/>
    </row>
    <row r="166" spans="1:4" ht="18" hidden="1" x14ac:dyDescent="0.25">
      <c r="A166" s="23"/>
      <c r="B166" s="24"/>
      <c r="C166" s="25"/>
      <c r="D166" s="25"/>
    </row>
    <row r="167" spans="1:4" ht="18" hidden="1" x14ac:dyDescent="0.25">
      <c r="A167" s="23"/>
      <c r="B167" s="24"/>
      <c r="C167" s="25"/>
      <c r="D167" s="25"/>
    </row>
    <row r="168" spans="1:4" ht="18" hidden="1" x14ac:dyDescent="0.25">
      <c r="A168" s="23"/>
      <c r="B168" s="24"/>
      <c r="C168" s="25"/>
      <c r="D168" s="25"/>
    </row>
    <row r="169" spans="1:4" ht="18" hidden="1" x14ac:dyDescent="0.25">
      <c r="A169" s="23"/>
      <c r="B169" s="24"/>
      <c r="C169" s="25"/>
      <c r="D169" s="25"/>
    </row>
    <row r="170" spans="1:4" ht="18" hidden="1" x14ac:dyDescent="0.25">
      <c r="A170" s="23"/>
      <c r="B170" s="24"/>
      <c r="C170" s="25"/>
      <c r="D170" s="25"/>
    </row>
    <row r="171" spans="1:4" ht="18" hidden="1" x14ac:dyDescent="0.25">
      <c r="A171" s="23"/>
      <c r="B171" s="24"/>
      <c r="C171" s="25"/>
      <c r="D171" s="25"/>
    </row>
    <row r="172" spans="1:4" ht="18" hidden="1" x14ac:dyDescent="0.25">
      <c r="A172" s="23"/>
      <c r="B172" s="24"/>
      <c r="C172" s="25"/>
      <c r="D172" s="25"/>
    </row>
    <row r="173" spans="1:4" ht="18" hidden="1" x14ac:dyDescent="0.25">
      <c r="A173" s="23"/>
      <c r="B173" s="24"/>
      <c r="C173" s="25"/>
      <c r="D173" s="25"/>
    </row>
    <row r="174" spans="1:4" ht="18" hidden="1" x14ac:dyDescent="0.25">
      <c r="A174" s="23"/>
      <c r="B174" s="24"/>
      <c r="C174" s="25"/>
      <c r="D174" s="25"/>
    </row>
    <row r="175" spans="1:4" ht="18" hidden="1" x14ac:dyDescent="0.25">
      <c r="A175" s="23"/>
      <c r="B175" s="24"/>
      <c r="C175" s="25"/>
      <c r="D175" s="25"/>
    </row>
    <row r="176" spans="1:4" ht="18" hidden="1" x14ac:dyDescent="0.25">
      <c r="A176" s="23"/>
      <c r="B176" s="24"/>
      <c r="C176" s="25"/>
      <c r="D176" s="25"/>
    </row>
    <row r="177" spans="1:4" ht="18" hidden="1" x14ac:dyDescent="0.25">
      <c r="A177" s="23"/>
      <c r="B177" s="24"/>
      <c r="C177" s="25"/>
      <c r="D177" s="25"/>
    </row>
    <row r="178" spans="1:4" ht="18" hidden="1" x14ac:dyDescent="0.25">
      <c r="A178" s="23"/>
      <c r="B178" s="24"/>
      <c r="C178" s="25"/>
      <c r="D178" s="25"/>
    </row>
    <row r="179" spans="1:4" ht="18" hidden="1" x14ac:dyDescent="0.25">
      <c r="A179" s="23"/>
      <c r="B179" s="24"/>
      <c r="C179" s="25"/>
      <c r="D179" s="25"/>
    </row>
    <row r="180" spans="1:4" ht="18" hidden="1" x14ac:dyDescent="0.25">
      <c r="A180" s="23"/>
      <c r="B180" s="24"/>
      <c r="C180" s="25"/>
      <c r="D180" s="25"/>
    </row>
    <row r="181" spans="1:4" ht="18" hidden="1" x14ac:dyDescent="0.25">
      <c r="A181" s="23"/>
      <c r="B181" s="24"/>
      <c r="C181" s="25"/>
      <c r="D181" s="25"/>
    </row>
    <row r="182" spans="1:4" ht="18" hidden="1" x14ac:dyDescent="0.25">
      <c r="A182" s="23"/>
      <c r="B182" s="24"/>
      <c r="C182" s="25"/>
      <c r="D182" s="25"/>
    </row>
    <row r="183" spans="1:4" ht="18" hidden="1" x14ac:dyDescent="0.25">
      <c r="A183" s="23"/>
      <c r="B183" s="24"/>
      <c r="C183" s="25"/>
      <c r="D183" s="25"/>
    </row>
    <row r="184" spans="1:4" ht="18" hidden="1" x14ac:dyDescent="0.25">
      <c r="A184" s="23"/>
      <c r="B184" s="24"/>
      <c r="C184" s="25"/>
      <c r="D184" s="25"/>
    </row>
    <row r="185" spans="1:4" ht="18" hidden="1" x14ac:dyDescent="0.25">
      <c r="A185" s="23"/>
      <c r="B185" s="24"/>
      <c r="C185" s="25"/>
      <c r="D185" s="25"/>
    </row>
    <row r="186" spans="1:4" ht="18" hidden="1" x14ac:dyDescent="0.25">
      <c r="A186" s="23"/>
      <c r="B186" s="24"/>
      <c r="C186" s="25"/>
      <c r="D186" s="25"/>
    </row>
    <row r="187" spans="1:4" ht="18" hidden="1" x14ac:dyDescent="0.25">
      <c r="A187" s="23"/>
      <c r="B187" s="24"/>
      <c r="C187" s="25"/>
      <c r="D187" s="25"/>
    </row>
    <row r="188" spans="1:4" ht="18" hidden="1" x14ac:dyDescent="0.25">
      <c r="A188" s="23"/>
      <c r="B188" s="24"/>
      <c r="C188" s="25"/>
      <c r="D188" s="25"/>
    </row>
    <row r="190" spans="1:4" ht="18.75" thickBot="1" x14ac:dyDescent="0.3">
      <c r="A190" s="2"/>
      <c r="B190" s="2"/>
      <c r="C190" s="73">
        <f>SUBTOTAL(9,C6:C189)</f>
        <v>719294.36000000022</v>
      </c>
      <c r="D190" s="73">
        <f>SUBTOTAL(9,D6:D189)</f>
        <v>719294.36</v>
      </c>
    </row>
    <row r="191" spans="1:4" ht="15.75" thickTop="1" x14ac:dyDescent="0.25"/>
  </sheetData>
  <mergeCells count="1">
    <mergeCell ref="A151:D151"/>
  </mergeCells>
  <pageMargins left="0" right="0" top="0.15748031496062992" bottom="0.15748031496062992" header="0.11811023622047245" footer="0.1181102362204724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BEF3-6B3C-4962-9567-5FFD6659ECBE}">
  <dimension ref="A1:N766"/>
  <sheetViews>
    <sheetView topLeftCell="A295" workbookViewId="0">
      <selection activeCell="A306" sqref="A306:XFD306"/>
    </sheetView>
  </sheetViews>
  <sheetFormatPr defaultRowHeight="18.75" x14ac:dyDescent="0.3"/>
  <cols>
    <col min="1" max="1" width="50.42578125" style="22" customWidth="1"/>
    <col min="2" max="2" width="9.140625" style="22"/>
    <col min="3" max="3" width="17" style="227" customWidth="1"/>
    <col min="4" max="4" width="14.140625" style="227" customWidth="1"/>
    <col min="5" max="5" width="15.140625" style="227" customWidth="1"/>
    <col min="6" max="6" width="15" style="227" customWidth="1"/>
    <col min="7" max="7" width="13.7109375" style="227" hidden="1" customWidth="1"/>
    <col min="8" max="8" width="14.28515625" style="227" hidden="1" customWidth="1"/>
    <col min="9" max="9" width="9.140625" style="22"/>
    <col min="10" max="10" width="13.7109375" style="22" bestFit="1" customWidth="1"/>
    <col min="11" max="11" width="11.28515625" style="22" bestFit="1" customWidth="1"/>
    <col min="12" max="12" width="13.7109375" style="22" bestFit="1" customWidth="1"/>
    <col min="13" max="14" width="9.42578125" style="22" bestFit="1" customWidth="1"/>
    <col min="15" max="16384" width="9.140625" style="22"/>
  </cols>
  <sheetData>
    <row r="1" spans="1:12" x14ac:dyDescent="0.3">
      <c r="A1" s="22" t="s">
        <v>517</v>
      </c>
    </row>
    <row r="2" spans="1:12" x14ac:dyDescent="0.3">
      <c r="A2" s="22" t="s">
        <v>518</v>
      </c>
    </row>
    <row r="3" spans="1:12" x14ac:dyDescent="0.3">
      <c r="A3" s="22" t="s">
        <v>519</v>
      </c>
    </row>
    <row r="4" spans="1:12" x14ac:dyDescent="0.3">
      <c r="A4" s="233"/>
      <c r="B4" s="233"/>
      <c r="C4" s="234"/>
    </row>
    <row r="5" spans="1:12" x14ac:dyDescent="0.3">
      <c r="A5" s="233"/>
      <c r="B5" s="233"/>
      <c r="C5" s="234"/>
    </row>
    <row r="6" spans="1:12" x14ac:dyDescent="0.3">
      <c r="D6" s="227" t="s">
        <v>2285</v>
      </c>
    </row>
    <row r="7" spans="1:12" x14ac:dyDescent="0.3">
      <c r="C7" s="227" t="s">
        <v>2084</v>
      </c>
      <c r="D7" s="227" t="s">
        <v>2321</v>
      </c>
      <c r="E7" s="227" t="s">
        <v>2322</v>
      </c>
      <c r="F7" s="228" t="s">
        <v>2323</v>
      </c>
      <c r="G7" s="227" t="s">
        <v>2083</v>
      </c>
      <c r="H7" s="227" t="s">
        <v>2087</v>
      </c>
    </row>
    <row r="8" spans="1:12" x14ac:dyDescent="0.3">
      <c r="A8" s="22" t="s">
        <v>0</v>
      </c>
      <c r="B8" s="22" t="s">
        <v>1144</v>
      </c>
    </row>
    <row r="10" spans="1:12" x14ac:dyDescent="0.3">
      <c r="A10" s="22" t="s">
        <v>104</v>
      </c>
      <c r="B10" s="22" t="s">
        <v>556</v>
      </c>
      <c r="C10" s="227">
        <v>-731340</v>
      </c>
      <c r="D10" s="227">
        <v>-712596.51</v>
      </c>
      <c r="E10" s="227">
        <f>C10-D10</f>
        <v>-18743.489999999991</v>
      </c>
      <c r="F10" s="229">
        <f>E10/D10</f>
        <v>2.6303089808845669E-2</v>
      </c>
      <c r="G10" s="227">
        <v>-76995</v>
      </c>
      <c r="H10" s="227">
        <v>-635601.51</v>
      </c>
      <c r="J10" s="22" t="s">
        <v>2089</v>
      </c>
    </row>
    <row r="11" spans="1:12" x14ac:dyDescent="0.3">
      <c r="A11" s="230" t="s">
        <v>105</v>
      </c>
      <c r="B11" s="230" t="s">
        <v>1922</v>
      </c>
      <c r="C11" s="231">
        <v>-731340</v>
      </c>
      <c r="D11" s="231">
        <v>-712596.51</v>
      </c>
      <c r="E11" s="231">
        <f t="shared" ref="E11:E37" si="0">C11-D11</f>
        <v>-18743.489999999991</v>
      </c>
      <c r="F11" s="232">
        <f t="shared" ref="F11:F37" si="1">E11/D11</f>
        <v>2.6303089808845669E-2</v>
      </c>
      <c r="G11" s="231">
        <v>-76995</v>
      </c>
      <c r="H11" s="231">
        <v>-635601.51</v>
      </c>
      <c r="I11" s="230"/>
    </row>
    <row r="12" spans="1:12" x14ac:dyDescent="0.3">
      <c r="F12" s="229"/>
    </row>
    <row r="13" spans="1:12" x14ac:dyDescent="0.3">
      <c r="A13" s="22" t="s">
        <v>106</v>
      </c>
      <c r="B13" s="22" t="s">
        <v>728</v>
      </c>
      <c r="C13" s="227">
        <v>-78013</v>
      </c>
      <c r="D13" s="227">
        <v>-78013.990000000005</v>
      </c>
      <c r="E13" s="227">
        <f t="shared" si="0"/>
        <v>0.99000000000523869</v>
      </c>
      <c r="F13" s="229">
        <f t="shared" si="1"/>
        <v>-1.2690031621318672E-5</v>
      </c>
      <c r="G13" s="227">
        <v>-6502</v>
      </c>
      <c r="H13" s="227">
        <v>-71511.990000000005</v>
      </c>
      <c r="J13" s="22" t="s">
        <v>2088</v>
      </c>
    </row>
    <row r="14" spans="1:12" x14ac:dyDescent="0.3">
      <c r="A14" s="22" t="s">
        <v>109</v>
      </c>
      <c r="B14" s="22" t="s">
        <v>740</v>
      </c>
      <c r="C14" s="227">
        <v>-5000</v>
      </c>
      <c r="D14" s="227">
        <v>-5000</v>
      </c>
      <c r="E14" s="227">
        <f t="shared" si="0"/>
        <v>0</v>
      </c>
      <c r="F14" s="229">
        <f t="shared" si="1"/>
        <v>0</v>
      </c>
      <c r="G14" s="227">
        <v>0</v>
      </c>
      <c r="H14" s="227">
        <v>-5000</v>
      </c>
    </row>
    <row r="15" spans="1:12" x14ac:dyDescent="0.3">
      <c r="A15" s="230" t="s">
        <v>113</v>
      </c>
      <c r="B15" s="230" t="s">
        <v>732</v>
      </c>
      <c r="C15" s="231">
        <v>-20000</v>
      </c>
      <c r="D15" s="231">
        <v>-31516.07</v>
      </c>
      <c r="E15" s="231">
        <f t="shared" si="0"/>
        <v>11516.07</v>
      </c>
      <c r="F15" s="232">
        <f t="shared" si="1"/>
        <v>-0.36540311022281646</v>
      </c>
      <c r="G15" s="227">
        <v>0</v>
      </c>
      <c r="H15" s="227">
        <v>-31516.07</v>
      </c>
      <c r="J15" s="22" t="s">
        <v>2247</v>
      </c>
      <c r="L15" s="22" t="s">
        <v>2248</v>
      </c>
    </row>
    <row r="16" spans="1:12" x14ac:dyDescent="0.3">
      <c r="A16" s="22" t="s">
        <v>114</v>
      </c>
      <c r="B16" s="22" t="s">
        <v>736</v>
      </c>
      <c r="C16" s="227">
        <v>-1121</v>
      </c>
      <c r="D16" s="227">
        <v>-1121</v>
      </c>
      <c r="E16" s="227">
        <f t="shared" si="0"/>
        <v>0</v>
      </c>
      <c r="F16" s="229">
        <f t="shared" si="1"/>
        <v>0</v>
      </c>
      <c r="G16" s="227">
        <v>0</v>
      </c>
      <c r="H16" s="227">
        <v>-1121</v>
      </c>
      <c r="J16" s="22" t="s">
        <v>2250</v>
      </c>
    </row>
    <row r="17" spans="1:13" x14ac:dyDescent="0.3">
      <c r="A17" s="22" t="s">
        <v>115</v>
      </c>
      <c r="B17" s="22" t="s">
        <v>738</v>
      </c>
      <c r="C17" s="227">
        <v>-7500</v>
      </c>
      <c r="D17" s="227">
        <v>-7570.16</v>
      </c>
      <c r="E17" s="227">
        <f t="shared" si="0"/>
        <v>70.159999999999854</v>
      </c>
      <c r="F17" s="229">
        <f t="shared" si="1"/>
        <v>-9.2679679161338548E-3</v>
      </c>
      <c r="G17" s="227">
        <v>0</v>
      </c>
      <c r="H17" s="227">
        <v>-7570.16</v>
      </c>
      <c r="J17" s="22" t="s">
        <v>2249</v>
      </c>
    </row>
    <row r="18" spans="1:13" x14ac:dyDescent="0.3">
      <c r="A18" s="22" t="s">
        <v>5</v>
      </c>
      <c r="C18" s="227">
        <v>-28621</v>
      </c>
      <c r="D18" s="227">
        <v>-40207.229999999996</v>
      </c>
      <c r="E18" s="227">
        <f t="shared" si="0"/>
        <v>11586.229999999996</v>
      </c>
      <c r="F18" s="229">
        <f t="shared" si="1"/>
        <v>-0.28816285031323963</v>
      </c>
      <c r="G18" s="227">
        <v>0</v>
      </c>
      <c r="H18" s="227">
        <v>-40207.229999999996</v>
      </c>
    </row>
    <row r="19" spans="1:13" x14ac:dyDescent="0.3">
      <c r="F19" s="229"/>
    </row>
    <row r="20" spans="1:13" x14ac:dyDescent="0.3">
      <c r="A20" s="22" t="s">
        <v>2162</v>
      </c>
      <c r="B20" s="22" t="s">
        <v>1263</v>
      </c>
      <c r="C20" s="227">
        <v>0</v>
      </c>
      <c r="D20" s="227">
        <v>-10500</v>
      </c>
      <c r="E20" s="227">
        <f t="shared" si="0"/>
        <v>10500</v>
      </c>
      <c r="F20" s="229">
        <f t="shared" si="1"/>
        <v>-1</v>
      </c>
      <c r="G20" s="227">
        <v>-10500</v>
      </c>
      <c r="H20" s="227">
        <v>0</v>
      </c>
      <c r="J20" s="22" t="s">
        <v>2163</v>
      </c>
    </row>
    <row r="21" spans="1:13" x14ac:dyDescent="0.3">
      <c r="A21" s="230" t="s">
        <v>123</v>
      </c>
      <c r="B21" s="22" t="s">
        <v>751</v>
      </c>
      <c r="C21" s="227">
        <v>-15000</v>
      </c>
      <c r="D21" s="227">
        <v>-17327.650000000001</v>
      </c>
      <c r="E21" s="227">
        <f t="shared" si="0"/>
        <v>2327.6500000000015</v>
      </c>
      <c r="F21" s="229">
        <f t="shared" si="1"/>
        <v>-0.13433154524704743</v>
      </c>
      <c r="G21" s="227">
        <v>0</v>
      </c>
      <c r="H21" s="227">
        <v>-17327.650000000001</v>
      </c>
      <c r="J21" s="22" t="s">
        <v>2253</v>
      </c>
    </row>
    <row r="22" spans="1:13" x14ac:dyDescent="0.3">
      <c r="A22" s="230" t="s">
        <v>124</v>
      </c>
      <c r="B22" s="22" t="s">
        <v>753</v>
      </c>
      <c r="C22" s="227">
        <v>-500</v>
      </c>
      <c r="D22" s="227">
        <v>-7046.1200000000008</v>
      </c>
      <c r="E22" s="227">
        <f t="shared" si="0"/>
        <v>6546.1200000000008</v>
      </c>
      <c r="F22" s="229">
        <f t="shared" si="1"/>
        <v>-0.92903896044915502</v>
      </c>
      <c r="G22" s="227">
        <v>2000</v>
      </c>
      <c r="H22" s="227">
        <v>-9046.1200000000008</v>
      </c>
      <c r="J22" s="22" t="s">
        <v>2258</v>
      </c>
      <c r="M22" s="22" t="s">
        <v>2254</v>
      </c>
    </row>
    <row r="23" spans="1:13" x14ac:dyDescent="0.3">
      <c r="A23" s="22" t="s">
        <v>5</v>
      </c>
      <c r="C23" s="227">
        <v>-15500</v>
      </c>
      <c r="D23" s="227">
        <v>-34873.770000000004</v>
      </c>
      <c r="E23" s="227">
        <f t="shared" si="0"/>
        <v>19373.770000000004</v>
      </c>
      <c r="F23" s="229">
        <f t="shared" si="1"/>
        <v>-0.55553987997282772</v>
      </c>
      <c r="G23" s="227">
        <v>-8500</v>
      </c>
      <c r="H23" s="227">
        <v>-26373.770000000004</v>
      </c>
      <c r="K23" s="22" t="s">
        <v>2255</v>
      </c>
    </row>
    <row r="24" spans="1:13" x14ac:dyDescent="0.3">
      <c r="F24" s="229"/>
    </row>
    <row r="25" spans="1:13" x14ac:dyDescent="0.3">
      <c r="A25" s="22" t="s">
        <v>125</v>
      </c>
      <c r="B25" s="22" t="s">
        <v>1926</v>
      </c>
      <c r="C25" s="227">
        <v>-15500</v>
      </c>
      <c r="D25" s="227">
        <v>-34873.770000000004</v>
      </c>
      <c r="E25" s="227">
        <f t="shared" si="0"/>
        <v>19373.770000000004</v>
      </c>
      <c r="F25" s="229">
        <f t="shared" si="1"/>
        <v>-0.55553987997282772</v>
      </c>
      <c r="G25" s="227">
        <v>-8500</v>
      </c>
      <c r="H25" s="227">
        <v>-26373.770000000004</v>
      </c>
    </row>
    <row r="26" spans="1:13" x14ac:dyDescent="0.3">
      <c r="F26" s="229"/>
    </row>
    <row r="27" spans="1:13" x14ac:dyDescent="0.3">
      <c r="A27" s="22" t="s">
        <v>126</v>
      </c>
      <c r="B27" s="22" t="s">
        <v>566</v>
      </c>
      <c r="C27" s="227">
        <v>-40000</v>
      </c>
      <c r="D27" s="227">
        <v>-39999.599999999999</v>
      </c>
      <c r="E27" s="227">
        <f t="shared" si="0"/>
        <v>-0.40000000000145519</v>
      </c>
      <c r="F27" s="229">
        <f t="shared" si="1"/>
        <v>1.000010000103639E-5</v>
      </c>
      <c r="G27" s="227">
        <v>-14807</v>
      </c>
      <c r="H27" s="227">
        <v>-25192.6</v>
      </c>
      <c r="J27" s="22" t="s">
        <v>2095</v>
      </c>
      <c r="L27" s="22" t="s">
        <v>2161</v>
      </c>
    </row>
    <row r="28" spans="1:13" x14ac:dyDescent="0.3">
      <c r="A28" s="22" t="s">
        <v>127</v>
      </c>
      <c r="B28" s="22" t="s">
        <v>570</v>
      </c>
      <c r="C28" s="227">
        <v>-25000</v>
      </c>
      <c r="D28" s="227">
        <v>-24352.720000000001</v>
      </c>
      <c r="E28" s="227">
        <f t="shared" si="0"/>
        <v>-647.27999999999884</v>
      </c>
      <c r="F28" s="229">
        <f t="shared" si="1"/>
        <v>2.657937183197601E-2</v>
      </c>
      <c r="G28" s="227">
        <v>0</v>
      </c>
      <c r="H28" s="227">
        <v>-24352.720000000001</v>
      </c>
      <c r="J28" s="22">
        <v>-35000</v>
      </c>
      <c r="K28" s="22">
        <v>-9807.4000000000015</v>
      </c>
      <c r="L28" s="22" t="s">
        <v>2245</v>
      </c>
    </row>
    <row r="29" spans="1:13" x14ac:dyDescent="0.3">
      <c r="A29" s="22" t="s">
        <v>5</v>
      </c>
      <c r="C29" s="227">
        <v>-65000</v>
      </c>
      <c r="D29" s="227">
        <v>-64352.32</v>
      </c>
      <c r="E29" s="227">
        <f t="shared" si="0"/>
        <v>-647.68000000000029</v>
      </c>
      <c r="F29" s="229">
        <f t="shared" si="1"/>
        <v>1.0064594407785147E-2</v>
      </c>
      <c r="G29" s="227">
        <v>-14807</v>
      </c>
      <c r="H29" s="227">
        <v>-49545.32</v>
      </c>
    </row>
    <row r="30" spans="1:13" x14ac:dyDescent="0.3">
      <c r="A30" s="22" t="s">
        <v>129</v>
      </c>
      <c r="B30" s="22" t="s">
        <v>560</v>
      </c>
      <c r="C30" s="227">
        <v>-6000</v>
      </c>
      <c r="D30" s="227">
        <v>-6046.49</v>
      </c>
      <c r="E30" s="227">
        <f t="shared" si="0"/>
        <v>46.489999999999782</v>
      </c>
      <c r="F30" s="229">
        <f t="shared" si="1"/>
        <v>-7.6887582713276274E-3</v>
      </c>
      <c r="G30" s="227">
        <v>-400</v>
      </c>
      <c r="H30" s="227">
        <v>-5646.49</v>
      </c>
    </row>
    <row r="31" spans="1:13" x14ac:dyDescent="0.3">
      <c r="F31" s="229"/>
    </row>
    <row r="32" spans="1:13" x14ac:dyDescent="0.3">
      <c r="A32" s="22" t="s">
        <v>132</v>
      </c>
      <c r="B32" s="22" t="s">
        <v>757</v>
      </c>
      <c r="C32" s="227">
        <v>-2500</v>
      </c>
      <c r="D32" s="227">
        <v>-2350</v>
      </c>
      <c r="E32" s="227">
        <f t="shared" si="0"/>
        <v>-150</v>
      </c>
      <c r="F32" s="229">
        <f t="shared" si="1"/>
        <v>6.3829787234042548E-2</v>
      </c>
      <c r="G32" s="227">
        <v>-300</v>
      </c>
      <c r="H32" s="227">
        <v>-2050</v>
      </c>
    </row>
    <row r="33" spans="1:12" x14ac:dyDescent="0.3">
      <c r="A33" s="22" t="s">
        <v>133</v>
      </c>
      <c r="B33" s="22" t="s">
        <v>759</v>
      </c>
      <c r="C33" s="227">
        <v>-1000</v>
      </c>
      <c r="D33" s="227">
        <v>-1000</v>
      </c>
      <c r="E33" s="227">
        <f t="shared" si="0"/>
        <v>0</v>
      </c>
      <c r="F33" s="229">
        <f t="shared" si="1"/>
        <v>0</v>
      </c>
      <c r="G33" s="227">
        <v>0</v>
      </c>
      <c r="H33" s="227">
        <v>-1000</v>
      </c>
    </row>
    <row r="34" spans="1:12" x14ac:dyDescent="0.3">
      <c r="A34" s="22" t="s">
        <v>136</v>
      </c>
      <c r="B34" s="22" t="s">
        <v>1929</v>
      </c>
      <c r="C34" s="227">
        <v>-3500</v>
      </c>
      <c r="D34" s="227">
        <v>-3350</v>
      </c>
      <c r="E34" s="227">
        <f t="shared" si="0"/>
        <v>-150</v>
      </c>
      <c r="F34" s="229">
        <f t="shared" si="1"/>
        <v>4.4776119402985072E-2</v>
      </c>
      <c r="G34" s="227">
        <v>-300</v>
      </c>
      <c r="H34" s="227">
        <v>-3050</v>
      </c>
    </row>
    <row r="35" spans="1:12" x14ac:dyDescent="0.3">
      <c r="A35" s="230" t="s">
        <v>138</v>
      </c>
      <c r="B35" s="22" t="s">
        <v>765</v>
      </c>
      <c r="C35" s="227">
        <v>-6500</v>
      </c>
      <c r="D35" s="227">
        <v>-6450</v>
      </c>
      <c r="E35" s="227">
        <f t="shared" si="0"/>
        <v>-50</v>
      </c>
      <c r="F35" s="229">
        <f t="shared" si="1"/>
        <v>7.7519379844961239E-3</v>
      </c>
      <c r="G35" s="227">
        <v>0</v>
      </c>
      <c r="H35" s="227">
        <v>-6450</v>
      </c>
      <c r="J35" s="22" t="s">
        <v>2096</v>
      </c>
    </row>
    <row r="36" spans="1:12" x14ac:dyDescent="0.3">
      <c r="F36" s="229"/>
    </row>
    <row r="37" spans="1:12" x14ac:dyDescent="0.3">
      <c r="A37" s="230" t="s">
        <v>2052</v>
      </c>
      <c r="B37" s="22" t="s">
        <v>1275</v>
      </c>
      <c r="C37" s="227">
        <v>-8000</v>
      </c>
      <c r="D37" s="227">
        <v>-6511.3</v>
      </c>
      <c r="E37" s="227">
        <f t="shared" si="0"/>
        <v>-1488.6999999999998</v>
      </c>
      <c r="F37" s="229">
        <f t="shared" si="1"/>
        <v>0.22863329903398705</v>
      </c>
      <c r="G37" s="227">
        <v>0</v>
      </c>
      <c r="H37" s="227">
        <v>-6511.3</v>
      </c>
      <c r="J37" s="22" t="s">
        <v>2097</v>
      </c>
      <c r="K37" s="22" t="s">
        <v>2256</v>
      </c>
      <c r="L37" s="22" t="s">
        <v>2257</v>
      </c>
    </row>
    <row r="38" spans="1:12" x14ac:dyDescent="0.3">
      <c r="F38" s="229"/>
      <c r="G38" s="227">
        <v>0</v>
      </c>
      <c r="H38" s="227">
        <v>-12961.3</v>
      </c>
    </row>
    <row r="39" spans="1:12" x14ac:dyDescent="0.3">
      <c r="F39" s="229"/>
      <c r="G39" s="227">
        <v>0</v>
      </c>
      <c r="H39" s="227">
        <v>0</v>
      </c>
      <c r="J39" s="22" t="s">
        <v>2223</v>
      </c>
    </row>
    <row r="40" spans="1:12" x14ac:dyDescent="0.3">
      <c r="A40" s="22" t="s">
        <v>146</v>
      </c>
      <c r="B40" s="22" t="s">
        <v>726</v>
      </c>
      <c r="C40" s="227">
        <v>-127500</v>
      </c>
      <c r="D40" s="227">
        <v>-101178.67</v>
      </c>
      <c r="E40" s="227">
        <f t="shared" ref="E40:E72" si="2">C40-D40</f>
        <v>-26321.33</v>
      </c>
      <c r="F40" s="229">
        <f t="shared" ref="F40:F72" si="3">E40/D40</f>
        <v>0.26014702505972853</v>
      </c>
      <c r="G40" s="227">
        <v>0</v>
      </c>
      <c r="H40" s="227">
        <v>-101178.67</v>
      </c>
      <c r="J40" s="22" t="s">
        <v>2098</v>
      </c>
      <c r="L40" s="22" t="s">
        <v>2292</v>
      </c>
    </row>
    <row r="41" spans="1:12" x14ac:dyDescent="0.3">
      <c r="A41" s="22" t="s">
        <v>8</v>
      </c>
      <c r="C41" s="227">
        <v>-127500</v>
      </c>
      <c r="D41" s="227">
        <v>-101178.67</v>
      </c>
      <c r="E41" s="227">
        <f t="shared" si="2"/>
        <v>-26321.33</v>
      </c>
      <c r="F41" s="229">
        <f t="shared" si="3"/>
        <v>0.26014702505972853</v>
      </c>
      <c r="G41" s="227">
        <v>0</v>
      </c>
      <c r="H41" s="227">
        <v>-101178.67</v>
      </c>
    </row>
    <row r="42" spans="1:12" x14ac:dyDescent="0.3">
      <c r="F42" s="229"/>
    </row>
    <row r="43" spans="1:12" x14ac:dyDescent="0.3">
      <c r="A43" s="22" t="s">
        <v>147</v>
      </c>
      <c r="B43" s="22" t="s">
        <v>1953</v>
      </c>
      <c r="C43" s="227">
        <v>-127500</v>
      </c>
      <c r="D43" s="227">
        <v>-101178.67</v>
      </c>
      <c r="E43" s="227">
        <f t="shared" si="2"/>
        <v>-26321.33</v>
      </c>
      <c r="F43" s="229">
        <f t="shared" si="3"/>
        <v>0.26014702505972853</v>
      </c>
      <c r="G43" s="227">
        <v>0</v>
      </c>
      <c r="H43" s="227">
        <v>-101178.67</v>
      </c>
    </row>
    <row r="44" spans="1:12" x14ac:dyDescent="0.3">
      <c r="F44" s="229"/>
      <c r="J44" s="22">
        <v>1</v>
      </c>
      <c r="K44" s="22" t="s">
        <v>2099</v>
      </c>
    </row>
    <row r="45" spans="1:12" x14ac:dyDescent="0.3">
      <c r="A45" s="22" t="s">
        <v>148</v>
      </c>
      <c r="B45" s="22" t="s">
        <v>1661</v>
      </c>
      <c r="C45" s="227">
        <v>-25006</v>
      </c>
      <c r="D45" s="227">
        <v>-20413.079999999998</v>
      </c>
      <c r="E45" s="227">
        <f t="shared" si="2"/>
        <v>-4592.9200000000019</v>
      </c>
      <c r="F45" s="229">
        <f t="shared" si="3"/>
        <v>0.22499887327145154</v>
      </c>
      <c r="G45" s="227">
        <v>-5103.2699999999986</v>
      </c>
      <c r="H45" s="227">
        <v>-15309.81</v>
      </c>
      <c r="J45" s="22">
        <v>-20413.079999999998</v>
      </c>
      <c r="K45" s="22">
        <v>-5103.2699999999986</v>
      </c>
    </row>
    <row r="46" spans="1:12" x14ac:dyDescent="0.3">
      <c r="A46" s="22" t="s">
        <v>149</v>
      </c>
      <c r="B46" s="22" t="s">
        <v>1663</v>
      </c>
      <c r="C46" s="227">
        <v>-24063</v>
      </c>
      <c r="D46" s="227">
        <v>-19643.16</v>
      </c>
      <c r="E46" s="227">
        <f t="shared" si="2"/>
        <v>-4419.84</v>
      </c>
      <c r="F46" s="229">
        <f t="shared" si="3"/>
        <v>0.22500656717147344</v>
      </c>
      <c r="G46" s="227">
        <v>-4910.7899999999991</v>
      </c>
      <c r="H46" s="227">
        <v>-14732.37</v>
      </c>
      <c r="J46" s="22">
        <v>-19643.16</v>
      </c>
      <c r="K46" s="22">
        <v>-4910.7899999999991</v>
      </c>
    </row>
    <row r="47" spans="1:12" x14ac:dyDescent="0.3">
      <c r="A47" s="22" t="s">
        <v>150</v>
      </c>
      <c r="B47" s="22" t="s">
        <v>1665</v>
      </c>
      <c r="C47" s="227">
        <v>-21033</v>
      </c>
      <c r="D47" s="227">
        <v>-17170</v>
      </c>
      <c r="E47" s="227">
        <f t="shared" si="2"/>
        <v>-3863</v>
      </c>
      <c r="F47" s="229">
        <f t="shared" si="3"/>
        <v>0.22498543972044263</v>
      </c>
      <c r="G47" s="227">
        <v>-4292.5</v>
      </c>
      <c r="H47" s="227">
        <v>-12877.5</v>
      </c>
      <c r="J47" s="22">
        <v>-17170</v>
      </c>
      <c r="K47" s="22">
        <v>-4292.5</v>
      </c>
    </row>
    <row r="48" spans="1:12" x14ac:dyDescent="0.3">
      <c r="A48" s="22" t="s">
        <v>151</v>
      </c>
      <c r="B48" s="22" t="s">
        <v>1667</v>
      </c>
      <c r="C48" s="227">
        <v>-6416</v>
      </c>
      <c r="D48" s="227">
        <v>-5237.28</v>
      </c>
      <c r="E48" s="227">
        <f t="shared" si="2"/>
        <v>-1178.7200000000003</v>
      </c>
      <c r="F48" s="229">
        <f t="shared" si="3"/>
        <v>0.22506339168423309</v>
      </c>
      <c r="G48" s="227">
        <v>-1309.3199999999997</v>
      </c>
      <c r="H48" s="227">
        <v>-3927.96</v>
      </c>
      <c r="J48" s="22">
        <v>-5237.28</v>
      </c>
      <c r="K48" s="22">
        <v>-1309.3199999999997</v>
      </c>
    </row>
    <row r="49" spans="1:13" x14ac:dyDescent="0.3">
      <c r="A49" s="22" t="s">
        <v>152</v>
      </c>
      <c r="B49" s="22" t="s">
        <v>1669</v>
      </c>
      <c r="C49" s="227">
        <v>-13226</v>
      </c>
      <c r="D49" s="227">
        <v>-10796.426666666666</v>
      </c>
      <c r="E49" s="227">
        <f t="shared" si="2"/>
        <v>-2429.5733333333337</v>
      </c>
      <c r="F49" s="229">
        <f t="shared" si="3"/>
        <v>0.22503494983525418</v>
      </c>
      <c r="G49" s="227">
        <v>-2699.1066666666666</v>
      </c>
      <c r="H49" s="227">
        <v>-8097.32</v>
      </c>
      <c r="J49" s="22">
        <v>-10796.426666666666</v>
      </c>
      <c r="K49" s="22">
        <v>-2699.1066666666666</v>
      </c>
    </row>
    <row r="50" spans="1:13" x14ac:dyDescent="0.3">
      <c r="A50" s="22" t="s">
        <v>153</v>
      </c>
      <c r="B50" s="22" t="s">
        <v>1672</v>
      </c>
      <c r="C50" s="227">
        <v>-593</v>
      </c>
      <c r="D50" s="227">
        <v>-484.48</v>
      </c>
      <c r="E50" s="227">
        <f t="shared" si="2"/>
        <v>-108.51999999999998</v>
      </c>
      <c r="F50" s="229">
        <f t="shared" si="3"/>
        <v>0.22399273447820339</v>
      </c>
      <c r="G50" s="227">
        <v>-121.12</v>
      </c>
      <c r="H50" s="227">
        <v>-363.36</v>
      </c>
      <c r="J50" s="22">
        <v>-484.48</v>
      </c>
      <c r="K50" s="22">
        <v>-121.12</v>
      </c>
    </row>
    <row r="51" spans="1:13" x14ac:dyDescent="0.3">
      <c r="A51" s="22" t="s">
        <v>8</v>
      </c>
      <c r="C51" s="227">
        <v>-90337</v>
      </c>
      <c r="D51" s="227">
        <v>-73744.426666666666</v>
      </c>
      <c r="E51" s="227">
        <f t="shared" si="2"/>
        <v>-16592.573333333334</v>
      </c>
      <c r="F51" s="229">
        <f t="shared" si="3"/>
        <v>0.22500104866681903</v>
      </c>
      <c r="G51" s="227">
        <v>-18436.106666666663</v>
      </c>
      <c r="H51" s="227">
        <v>-55308.32</v>
      </c>
      <c r="J51" s="22" t="s">
        <v>2100</v>
      </c>
    </row>
    <row r="52" spans="1:13" x14ac:dyDescent="0.3">
      <c r="F52" s="229"/>
    </row>
    <row r="53" spans="1:13" x14ac:dyDescent="0.3">
      <c r="A53" s="22" t="s">
        <v>154</v>
      </c>
      <c r="B53" s="22" t="s">
        <v>1954</v>
      </c>
      <c r="C53" s="227">
        <v>-90337</v>
      </c>
      <c r="D53" s="227">
        <v>-73744.426666666666</v>
      </c>
      <c r="E53" s="227">
        <f t="shared" si="2"/>
        <v>-16592.573333333334</v>
      </c>
      <c r="F53" s="229">
        <f t="shared" si="3"/>
        <v>0.22500104866681903</v>
      </c>
      <c r="G53" s="227">
        <v>-18436.106666666663</v>
      </c>
      <c r="H53" s="227">
        <v>-55308.32</v>
      </c>
    </row>
    <row r="54" spans="1:13" x14ac:dyDescent="0.3">
      <c r="F54" s="229"/>
    </row>
    <row r="55" spans="1:13" x14ac:dyDescent="0.3">
      <c r="A55" s="22" t="s">
        <v>156</v>
      </c>
      <c r="B55" s="22" t="s">
        <v>1682</v>
      </c>
      <c r="C55" s="227">
        <v>-75000</v>
      </c>
      <c r="D55" s="227">
        <v>-59220.29</v>
      </c>
      <c r="E55" s="227">
        <f t="shared" si="2"/>
        <v>-15779.71</v>
      </c>
      <c r="F55" s="229">
        <f t="shared" si="3"/>
        <v>0.26645783058475397</v>
      </c>
      <c r="G55" s="227">
        <v>0</v>
      </c>
      <c r="H55" s="227">
        <v>-59220.29</v>
      </c>
      <c r="J55" s="22" t="s">
        <v>2100</v>
      </c>
      <c r="K55" s="22">
        <v>60000</v>
      </c>
    </row>
    <row r="56" spans="1:13" x14ac:dyDescent="0.3">
      <c r="A56" s="22" t="s">
        <v>157</v>
      </c>
      <c r="B56" s="22" t="s">
        <v>1958</v>
      </c>
      <c r="C56" s="227">
        <v>-75000</v>
      </c>
      <c r="D56" s="227">
        <v>-59220.29</v>
      </c>
      <c r="E56" s="227">
        <f t="shared" si="2"/>
        <v>-15779.71</v>
      </c>
      <c r="F56" s="229">
        <f t="shared" si="3"/>
        <v>0.26645783058475397</v>
      </c>
      <c r="G56" s="227">
        <v>0</v>
      </c>
      <c r="H56" s="227">
        <v>-59220.29</v>
      </c>
    </row>
    <row r="57" spans="1:13" x14ac:dyDescent="0.3">
      <c r="F57" s="229"/>
      <c r="J57" s="22" t="s">
        <v>2100</v>
      </c>
    </row>
    <row r="58" spans="1:13" x14ac:dyDescent="0.3">
      <c r="A58" s="22" t="s">
        <v>158</v>
      </c>
      <c r="B58" s="22" t="s">
        <v>1684</v>
      </c>
      <c r="C58" s="227">
        <v>-13914</v>
      </c>
      <c r="D58" s="227">
        <v>-11358.6</v>
      </c>
      <c r="E58" s="227">
        <f t="shared" si="2"/>
        <v>-2555.3999999999996</v>
      </c>
      <c r="F58" s="229">
        <f t="shared" si="3"/>
        <v>0.22497490887961541</v>
      </c>
      <c r="G58" s="227">
        <v>-2839.6499999999996</v>
      </c>
      <c r="H58" s="227">
        <v>-8518.9500000000007</v>
      </c>
      <c r="J58" s="22">
        <v>-11358.6</v>
      </c>
      <c r="K58" s="22">
        <v>-2839.6499999999996</v>
      </c>
      <c r="M58" s="22">
        <v>0.22499999999999998</v>
      </c>
    </row>
    <row r="59" spans="1:13" x14ac:dyDescent="0.3">
      <c r="A59" s="22" t="s">
        <v>159</v>
      </c>
      <c r="B59" s="22" t="s">
        <v>1275</v>
      </c>
      <c r="C59" s="227">
        <v>-11380</v>
      </c>
      <c r="D59" s="227">
        <v>-9290.1999999999989</v>
      </c>
      <c r="E59" s="227">
        <f t="shared" si="2"/>
        <v>-2089.8000000000011</v>
      </c>
      <c r="F59" s="229">
        <f t="shared" si="3"/>
        <v>0.22494671804697439</v>
      </c>
      <c r="G59" s="227">
        <v>-2322.5499999999993</v>
      </c>
      <c r="H59" s="227">
        <v>-6967.65</v>
      </c>
      <c r="J59" s="22">
        <v>-9290.1999999999989</v>
      </c>
      <c r="K59" s="22">
        <v>-2322.5499999999993</v>
      </c>
    </row>
    <row r="60" spans="1:13" x14ac:dyDescent="0.3">
      <c r="A60" s="22" t="s">
        <v>160</v>
      </c>
      <c r="B60" s="22" t="s">
        <v>1687</v>
      </c>
      <c r="C60" s="227">
        <v>-13565</v>
      </c>
      <c r="D60" s="227">
        <v>-11073.480000000001</v>
      </c>
      <c r="E60" s="227">
        <f t="shared" si="2"/>
        <v>-2491.5199999999986</v>
      </c>
      <c r="F60" s="229">
        <f t="shared" si="3"/>
        <v>0.22499882602397786</v>
      </c>
      <c r="G60" s="227">
        <v>-2768.3700000000008</v>
      </c>
      <c r="H60" s="227">
        <v>-8305.11</v>
      </c>
      <c r="J60" s="22">
        <v>-11073.480000000001</v>
      </c>
      <c r="K60" s="22">
        <v>-2768.3700000000008</v>
      </c>
    </row>
    <row r="61" spans="1:13" x14ac:dyDescent="0.3">
      <c r="A61" s="22" t="s">
        <v>161</v>
      </c>
      <c r="B61" s="22" t="s">
        <v>1689</v>
      </c>
      <c r="C61" s="227">
        <v>-4380</v>
      </c>
      <c r="D61" s="227">
        <v>-3575.3199999999997</v>
      </c>
      <c r="E61" s="227">
        <f t="shared" si="2"/>
        <v>-804.68000000000029</v>
      </c>
      <c r="F61" s="229">
        <f t="shared" si="3"/>
        <v>0.22506516899186657</v>
      </c>
      <c r="G61" s="227">
        <v>-893.82999999999993</v>
      </c>
      <c r="H61" s="227">
        <v>-2681.49</v>
      </c>
      <c r="J61" s="22">
        <v>-3575.3199999999997</v>
      </c>
      <c r="K61" s="22">
        <v>-893.82999999999993</v>
      </c>
    </row>
    <row r="62" spans="1:13" x14ac:dyDescent="0.3">
      <c r="A62" s="22" t="s">
        <v>162</v>
      </c>
      <c r="B62" s="22" t="s">
        <v>763</v>
      </c>
      <c r="C62" s="227">
        <v>-7717</v>
      </c>
      <c r="D62" s="227">
        <v>-6299.2666666666664</v>
      </c>
      <c r="E62" s="227">
        <f t="shared" si="2"/>
        <v>-1417.7333333333336</v>
      </c>
      <c r="F62" s="229">
        <f t="shared" si="3"/>
        <v>0.2250632348739007</v>
      </c>
      <c r="G62" s="227">
        <v>-1574.8166666666666</v>
      </c>
      <c r="H62" s="227">
        <v>-4724.45</v>
      </c>
      <c r="J62" s="22">
        <v>-6299.2666666666664</v>
      </c>
      <c r="K62" s="22">
        <v>-1574.8166666666666</v>
      </c>
    </row>
    <row r="63" spans="1:13" x14ac:dyDescent="0.3">
      <c r="A63" s="22" t="s">
        <v>163</v>
      </c>
      <c r="B63" s="22" t="s">
        <v>1694</v>
      </c>
      <c r="C63" s="227">
        <v>-2787</v>
      </c>
      <c r="D63" s="227">
        <v>-2275</v>
      </c>
      <c r="E63" s="227">
        <f t="shared" si="2"/>
        <v>-512</v>
      </c>
      <c r="F63" s="229">
        <f t="shared" si="3"/>
        <v>0.22505494505494505</v>
      </c>
      <c r="G63" s="227">
        <v>-568.75</v>
      </c>
      <c r="H63" s="227">
        <v>-1706.25</v>
      </c>
      <c r="J63" s="22">
        <v>-2275</v>
      </c>
      <c r="K63" s="22">
        <v>-568.75</v>
      </c>
    </row>
    <row r="64" spans="1:13" x14ac:dyDescent="0.3">
      <c r="A64" s="22" t="s">
        <v>164</v>
      </c>
      <c r="B64" s="22" t="s">
        <v>1959</v>
      </c>
      <c r="C64" s="227">
        <v>-53743</v>
      </c>
      <c r="D64" s="227">
        <v>-43871.866666666661</v>
      </c>
      <c r="E64" s="227">
        <f t="shared" si="2"/>
        <v>-9871.1333333333387</v>
      </c>
      <c r="F64" s="229">
        <f t="shared" si="3"/>
        <v>0.22499916423281147</v>
      </c>
      <c r="G64" s="227">
        <v>-10967.966666666667</v>
      </c>
      <c r="H64" s="227">
        <v>-32903.899999999994</v>
      </c>
    </row>
    <row r="65" spans="1:10" x14ac:dyDescent="0.3">
      <c r="D65" s="227">
        <v>0</v>
      </c>
      <c r="E65" s="227">
        <f t="shared" si="2"/>
        <v>0</v>
      </c>
      <c r="F65" s="229" t="e">
        <f t="shared" si="3"/>
        <v>#DIV/0!</v>
      </c>
    </row>
    <row r="66" spans="1:10" x14ac:dyDescent="0.3">
      <c r="A66" s="230" t="s">
        <v>165</v>
      </c>
      <c r="B66" s="22" t="s">
        <v>1696</v>
      </c>
      <c r="C66" s="227">
        <v>-46550</v>
      </c>
      <c r="D66" s="227">
        <v>-38000</v>
      </c>
      <c r="E66" s="227">
        <f t="shared" si="2"/>
        <v>-8550</v>
      </c>
      <c r="F66" s="229">
        <f t="shared" si="3"/>
        <v>0.22500000000000001</v>
      </c>
      <c r="G66" s="227">
        <v>0</v>
      </c>
      <c r="H66" s="227">
        <v>-38000</v>
      </c>
      <c r="J66" s="22" t="s">
        <v>2100</v>
      </c>
    </row>
    <row r="67" spans="1:10" x14ac:dyDescent="0.3">
      <c r="A67" s="22" t="s">
        <v>8</v>
      </c>
      <c r="C67" s="227">
        <v>-46550</v>
      </c>
      <c r="D67" s="227">
        <v>-38000</v>
      </c>
      <c r="E67" s="227">
        <f t="shared" si="2"/>
        <v>-8550</v>
      </c>
      <c r="F67" s="229">
        <f t="shared" si="3"/>
        <v>0.22500000000000001</v>
      </c>
      <c r="G67" s="227">
        <v>0</v>
      </c>
      <c r="H67" s="227">
        <v>-38000</v>
      </c>
    </row>
    <row r="68" spans="1:10" x14ac:dyDescent="0.3">
      <c r="F68" s="229"/>
    </row>
    <row r="69" spans="1:10" x14ac:dyDescent="0.3">
      <c r="A69" s="22" t="s">
        <v>167</v>
      </c>
      <c r="B69" s="22" t="s">
        <v>1676</v>
      </c>
      <c r="C69" s="227">
        <v>-4500</v>
      </c>
      <c r="D69" s="227">
        <v>-4681.1899999999996</v>
      </c>
      <c r="E69" s="227">
        <f t="shared" si="2"/>
        <v>181.1899999999996</v>
      </c>
      <c r="F69" s="229">
        <f t="shared" si="3"/>
        <v>-3.8705970063167616E-2</v>
      </c>
      <c r="G69" s="227">
        <v>-300</v>
      </c>
      <c r="H69" s="227">
        <v>-4381.1899999999996</v>
      </c>
    </row>
    <row r="70" spans="1:10" x14ac:dyDescent="0.3">
      <c r="A70" s="22" t="s">
        <v>168</v>
      </c>
      <c r="B70" s="22" t="s">
        <v>1698</v>
      </c>
      <c r="C70" s="227">
        <v>-2250</v>
      </c>
      <c r="D70" s="227">
        <v>-2329.87</v>
      </c>
      <c r="E70" s="227">
        <f t="shared" si="2"/>
        <v>79.869999999999891</v>
      </c>
      <c r="F70" s="229">
        <f t="shared" si="3"/>
        <v>-3.4280882624352388E-2</v>
      </c>
      <c r="G70" s="227">
        <v>-200</v>
      </c>
      <c r="H70" s="227">
        <v>-2129.87</v>
      </c>
    </row>
    <row r="71" spans="1:10" x14ac:dyDescent="0.3">
      <c r="A71" s="22" t="s">
        <v>8</v>
      </c>
      <c r="C71" s="227">
        <v>-6750</v>
      </c>
      <c r="D71" s="227">
        <v>-7011.0599999999995</v>
      </c>
      <c r="E71" s="227">
        <f t="shared" si="2"/>
        <v>261.05999999999949</v>
      </c>
      <c r="F71" s="229">
        <f t="shared" si="3"/>
        <v>-3.7235453697443681E-2</v>
      </c>
      <c r="G71" s="227">
        <v>-500</v>
      </c>
      <c r="H71" s="227">
        <v>-6511.0599999999995</v>
      </c>
    </row>
    <row r="72" spans="1:10" x14ac:dyDescent="0.3">
      <c r="D72" s="227">
        <v>0</v>
      </c>
      <c r="E72" s="227">
        <f t="shared" si="2"/>
        <v>0</v>
      </c>
      <c r="F72" s="229" t="e">
        <f t="shared" si="3"/>
        <v>#DIV/0!</v>
      </c>
    </row>
    <row r="73" spans="1:10" x14ac:dyDescent="0.3">
      <c r="A73" s="22" t="s">
        <v>169</v>
      </c>
      <c r="B73" s="22" t="s">
        <v>2315</v>
      </c>
      <c r="C73" s="227">
        <v>-6750</v>
      </c>
      <c r="D73" s="227">
        <v>-7011.0599999999995</v>
      </c>
      <c r="E73" s="227">
        <f t="shared" ref="E73:E135" si="4">C73-D73</f>
        <v>261.05999999999949</v>
      </c>
      <c r="F73" s="229">
        <f t="shared" ref="F73:F135" si="5">E73/D73</f>
        <v>-3.7235453697443681E-2</v>
      </c>
      <c r="G73" s="227">
        <v>-500</v>
      </c>
      <c r="H73" s="227">
        <v>-6511.0599999999995</v>
      </c>
    </row>
    <row r="74" spans="1:10" x14ac:dyDescent="0.3">
      <c r="F74" s="229"/>
    </row>
    <row r="75" spans="1:10" x14ac:dyDescent="0.3">
      <c r="A75" s="22" t="s">
        <v>170</v>
      </c>
      <c r="B75" s="22" t="s">
        <v>1700</v>
      </c>
      <c r="C75" s="227">
        <v>-400</v>
      </c>
      <c r="D75" s="227">
        <v>-800</v>
      </c>
      <c r="E75" s="227">
        <f t="shared" si="4"/>
        <v>400</v>
      </c>
      <c r="F75" s="229">
        <f t="shared" si="5"/>
        <v>-0.5</v>
      </c>
      <c r="G75" s="227">
        <v>0</v>
      </c>
      <c r="H75" s="227">
        <v>-800</v>
      </c>
    </row>
    <row r="76" spans="1:10" x14ac:dyDescent="0.3">
      <c r="F76" s="229"/>
    </row>
    <row r="77" spans="1:10" x14ac:dyDescent="0.3">
      <c r="A77" s="22" t="s">
        <v>171</v>
      </c>
      <c r="B77" s="22" t="s">
        <v>1961</v>
      </c>
      <c r="C77" s="227">
        <v>-400</v>
      </c>
      <c r="D77" s="227">
        <v>-800</v>
      </c>
      <c r="E77" s="227">
        <f t="shared" si="4"/>
        <v>400</v>
      </c>
      <c r="F77" s="229">
        <f t="shared" si="5"/>
        <v>-0.5</v>
      </c>
      <c r="G77" s="227">
        <v>0</v>
      </c>
      <c r="H77" s="227">
        <v>-800</v>
      </c>
    </row>
    <row r="78" spans="1:10" x14ac:dyDescent="0.3">
      <c r="F78" s="229"/>
    </row>
    <row r="79" spans="1:10" x14ac:dyDescent="0.3">
      <c r="F79" s="229"/>
    </row>
    <row r="80" spans="1:10" x14ac:dyDescent="0.3">
      <c r="A80" s="22" t="s">
        <v>2063</v>
      </c>
      <c r="B80" s="22" t="s">
        <v>1046</v>
      </c>
      <c r="C80" s="227">
        <v>-1200</v>
      </c>
      <c r="D80" s="227">
        <v>-1135</v>
      </c>
      <c r="E80" s="227">
        <f t="shared" si="4"/>
        <v>-65</v>
      </c>
      <c r="F80" s="229">
        <f t="shared" si="5"/>
        <v>5.7268722466960353E-2</v>
      </c>
      <c r="G80" s="227">
        <v>0</v>
      </c>
      <c r="H80" s="227">
        <v>-1135</v>
      </c>
    </row>
    <row r="81" spans="1:14" x14ac:dyDescent="0.3">
      <c r="A81" s="22" t="s">
        <v>12</v>
      </c>
      <c r="C81" s="227">
        <v>-1200</v>
      </c>
      <c r="D81" s="227">
        <v>-1135</v>
      </c>
      <c r="E81" s="227">
        <f t="shared" si="4"/>
        <v>-65</v>
      </c>
      <c r="F81" s="229">
        <f t="shared" si="5"/>
        <v>5.7268722466960353E-2</v>
      </c>
      <c r="G81" s="227">
        <v>0</v>
      </c>
      <c r="H81" s="227">
        <v>-1135</v>
      </c>
    </row>
    <row r="82" spans="1:14" x14ac:dyDescent="0.3">
      <c r="F82" s="229"/>
    </row>
    <row r="83" spans="1:14" x14ac:dyDescent="0.3">
      <c r="A83" s="22" t="s">
        <v>173</v>
      </c>
      <c r="B83" s="22" t="s">
        <v>2021</v>
      </c>
      <c r="C83" s="227">
        <v>-1200</v>
      </c>
      <c r="D83" s="227">
        <v>-1135</v>
      </c>
      <c r="E83" s="227">
        <f t="shared" si="4"/>
        <v>-65</v>
      </c>
      <c r="F83" s="229">
        <f t="shared" si="5"/>
        <v>5.7268722466960353E-2</v>
      </c>
      <c r="G83" s="227">
        <v>0</v>
      </c>
      <c r="H83" s="227">
        <v>-1135</v>
      </c>
    </row>
    <row r="84" spans="1:14" x14ac:dyDescent="0.3">
      <c r="F84" s="229"/>
    </row>
    <row r="85" spans="1:14" x14ac:dyDescent="0.3">
      <c r="A85" s="22" t="s">
        <v>174</v>
      </c>
      <c r="B85" s="22" t="s">
        <v>1024</v>
      </c>
      <c r="D85" s="227">
        <v>-40</v>
      </c>
      <c r="E85" s="227">
        <f t="shared" si="4"/>
        <v>40</v>
      </c>
      <c r="F85" s="229">
        <f t="shared" si="5"/>
        <v>-1</v>
      </c>
      <c r="H85" s="227">
        <v>-40</v>
      </c>
    </row>
    <row r="86" spans="1:14" x14ac:dyDescent="0.3">
      <c r="A86" s="22" t="s">
        <v>175</v>
      </c>
      <c r="B86" s="22" t="s">
        <v>556</v>
      </c>
      <c r="C86" s="227">
        <v>-42000</v>
      </c>
      <c r="D86" s="227">
        <v>-40258.629999999997</v>
      </c>
      <c r="E86" s="227">
        <f t="shared" si="4"/>
        <v>-1741.3700000000026</v>
      </c>
      <c r="F86" s="229">
        <f t="shared" si="5"/>
        <v>4.3254576720569052E-2</v>
      </c>
      <c r="G86" s="227">
        <v>-6000</v>
      </c>
      <c r="H86" s="227">
        <v>-34258.629999999997</v>
      </c>
      <c r="J86" s="22" t="s">
        <v>2103</v>
      </c>
    </row>
    <row r="87" spans="1:14" x14ac:dyDescent="0.3">
      <c r="A87" s="22" t="s">
        <v>176</v>
      </c>
      <c r="B87" s="22" t="s">
        <v>732</v>
      </c>
      <c r="D87" s="227">
        <v>0</v>
      </c>
      <c r="E87" s="227">
        <f t="shared" si="4"/>
        <v>0</v>
      </c>
      <c r="F87" s="229" t="e">
        <f t="shared" si="5"/>
        <v>#DIV/0!</v>
      </c>
      <c r="H87" s="227">
        <v>0</v>
      </c>
      <c r="K87" s="22" t="s">
        <v>2261</v>
      </c>
      <c r="L87" s="22" t="s">
        <v>2262</v>
      </c>
      <c r="M87" s="22" t="s">
        <v>2263</v>
      </c>
      <c r="N87" s="22" t="s">
        <v>2264</v>
      </c>
    </row>
    <row r="88" spans="1:14" x14ac:dyDescent="0.3">
      <c r="A88" s="22" t="s">
        <v>177</v>
      </c>
      <c r="B88" s="22" t="s">
        <v>1030</v>
      </c>
      <c r="D88" s="227">
        <v>0</v>
      </c>
      <c r="E88" s="227">
        <f t="shared" si="4"/>
        <v>0</v>
      </c>
      <c r="F88" s="229" t="e">
        <f t="shared" si="5"/>
        <v>#DIV/0!</v>
      </c>
      <c r="H88" s="227">
        <v>0</v>
      </c>
      <c r="J88" s="22" t="s">
        <v>2259</v>
      </c>
      <c r="K88" s="22">
        <v>5</v>
      </c>
      <c r="L88" s="22">
        <v>10</v>
      </c>
    </row>
    <row r="89" spans="1:14" x14ac:dyDescent="0.3">
      <c r="A89" s="22" t="s">
        <v>178</v>
      </c>
      <c r="B89" s="22" t="s">
        <v>1034</v>
      </c>
      <c r="C89" s="227">
        <v>-28000</v>
      </c>
      <c r="D89" s="227">
        <v>-26373.83</v>
      </c>
      <c r="E89" s="227">
        <f t="shared" si="4"/>
        <v>-1626.1699999999983</v>
      </c>
      <c r="F89" s="229">
        <f t="shared" si="5"/>
        <v>6.1658469778564512E-2</v>
      </c>
      <c r="G89" s="227">
        <v>-3000</v>
      </c>
      <c r="H89" s="227">
        <v>-23373.83</v>
      </c>
      <c r="J89" s="22" t="s">
        <v>2260</v>
      </c>
      <c r="K89" s="22">
        <v>5</v>
      </c>
      <c r="L89" s="22">
        <v>10</v>
      </c>
    </row>
    <row r="90" spans="1:14" x14ac:dyDescent="0.3">
      <c r="A90" s="22" t="s">
        <v>179</v>
      </c>
      <c r="B90" s="22" t="s">
        <v>558</v>
      </c>
      <c r="D90" s="227">
        <v>0</v>
      </c>
      <c r="E90" s="227">
        <f t="shared" si="4"/>
        <v>0</v>
      </c>
      <c r="F90" s="229" t="e">
        <f t="shared" si="5"/>
        <v>#DIV/0!</v>
      </c>
      <c r="H90" s="227">
        <v>0</v>
      </c>
    </row>
    <row r="91" spans="1:14" x14ac:dyDescent="0.3">
      <c r="A91" s="22" t="s">
        <v>180</v>
      </c>
      <c r="B91" s="22" t="s">
        <v>1038</v>
      </c>
      <c r="D91" s="227">
        <v>0</v>
      </c>
      <c r="E91" s="227">
        <f t="shared" si="4"/>
        <v>0</v>
      </c>
      <c r="F91" s="229" t="e">
        <f t="shared" si="5"/>
        <v>#DIV/0!</v>
      </c>
      <c r="H91" s="227">
        <v>0</v>
      </c>
      <c r="M91" s="22">
        <v>1.0333333333333334</v>
      </c>
    </row>
    <row r="92" spans="1:14" x14ac:dyDescent="0.3">
      <c r="A92" s="22" t="s">
        <v>181</v>
      </c>
      <c r="B92" s="22" t="s">
        <v>744</v>
      </c>
      <c r="D92" s="227">
        <v>0</v>
      </c>
      <c r="E92" s="227">
        <f t="shared" si="4"/>
        <v>0</v>
      </c>
      <c r="F92" s="229" t="e">
        <f t="shared" si="5"/>
        <v>#DIV/0!</v>
      </c>
      <c r="H92" s="227">
        <v>0</v>
      </c>
      <c r="M92" s="22">
        <v>1.0588235294117647</v>
      </c>
    </row>
    <row r="93" spans="1:14" x14ac:dyDescent="0.3">
      <c r="A93" s="22" t="s">
        <v>182</v>
      </c>
      <c r="B93" s="22" t="s">
        <v>576</v>
      </c>
      <c r="D93" s="227">
        <v>0</v>
      </c>
      <c r="E93" s="227">
        <f t="shared" si="4"/>
        <v>0</v>
      </c>
      <c r="F93" s="229" t="e">
        <f t="shared" si="5"/>
        <v>#DIV/0!</v>
      </c>
      <c r="H93" s="227">
        <v>0</v>
      </c>
    </row>
    <row r="94" spans="1:14" x14ac:dyDescent="0.3">
      <c r="A94" s="22" t="s">
        <v>2064</v>
      </c>
      <c r="B94" s="22" t="s">
        <v>1042</v>
      </c>
      <c r="D94" s="227">
        <v>-260.87</v>
      </c>
      <c r="E94" s="227">
        <f t="shared" si="4"/>
        <v>260.87</v>
      </c>
      <c r="F94" s="229">
        <f t="shared" si="5"/>
        <v>-1</v>
      </c>
      <c r="H94" s="227">
        <v>-260.87</v>
      </c>
    </row>
    <row r="95" spans="1:14" x14ac:dyDescent="0.3">
      <c r="A95" s="22" t="s">
        <v>12</v>
      </c>
      <c r="C95" s="227">
        <v>-70000</v>
      </c>
      <c r="D95" s="227">
        <v>-66933.33</v>
      </c>
      <c r="E95" s="227">
        <f t="shared" si="4"/>
        <v>-3066.6699999999983</v>
      </c>
      <c r="F95" s="229">
        <f t="shared" si="5"/>
        <v>4.5816785150238279E-2</v>
      </c>
      <c r="G95" s="227">
        <v>-9000</v>
      </c>
      <c r="H95" s="227">
        <v>-57933.33</v>
      </c>
    </row>
    <row r="96" spans="1:14" x14ac:dyDescent="0.3">
      <c r="D96" s="227">
        <v>0</v>
      </c>
      <c r="E96" s="227">
        <f t="shared" si="4"/>
        <v>0</v>
      </c>
      <c r="F96" s="229" t="e">
        <f t="shared" si="5"/>
        <v>#DIV/0!</v>
      </c>
    </row>
    <row r="97" spans="1:10" x14ac:dyDescent="0.3">
      <c r="A97" s="22" t="s">
        <v>183</v>
      </c>
      <c r="B97" s="22" t="s">
        <v>2022</v>
      </c>
      <c r="C97" s="227">
        <v>-70000</v>
      </c>
      <c r="D97" s="227">
        <v>-66933.33</v>
      </c>
      <c r="E97" s="227">
        <f t="shared" si="4"/>
        <v>-3066.6699999999983</v>
      </c>
      <c r="F97" s="229">
        <f t="shared" si="5"/>
        <v>4.5816785150238279E-2</v>
      </c>
      <c r="G97" s="227">
        <v>-9000</v>
      </c>
      <c r="H97" s="227">
        <v>-57933.33</v>
      </c>
    </row>
    <row r="98" spans="1:10" x14ac:dyDescent="0.3">
      <c r="D98" s="227">
        <v>0</v>
      </c>
      <c r="E98" s="227">
        <f t="shared" si="4"/>
        <v>0</v>
      </c>
      <c r="F98" s="229" t="e">
        <f t="shared" si="5"/>
        <v>#DIV/0!</v>
      </c>
    </row>
    <row r="99" spans="1:10" x14ac:dyDescent="0.3">
      <c r="A99" s="22" t="s">
        <v>184</v>
      </c>
      <c r="B99" s="22" t="s">
        <v>580</v>
      </c>
      <c r="D99" s="227">
        <v>0</v>
      </c>
      <c r="E99" s="227">
        <f t="shared" si="4"/>
        <v>0</v>
      </c>
      <c r="F99" s="229" t="e">
        <f t="shared" si="5"/>
        <v>#DIV/0!</v>
      </c>
      <c r="H99" s="227">
        <v>0</v>
      </c>
    </row>
    <row r="100" spans="1:10" x14ac:dyDescent="0.3">
      <c r="A100" s="22" t="s">
        <v>2045</v>
      </c>
      <c r="B100" s="22" t="s">
        <v>2049</v>
      </c>
      <c r="D100" s="227">
        <v>-8435</v>
      </c>
      <c r="E100" s="227">
        <f t="shared" si="4"/>
        <v>8435</v>
      </c>
      <c r="F100" s="229">
        <f t="shared" si="5"/>
        <v>-1</v>
      </c>
      <c r="G100" s="227">
        <v>0</v>
      </c>
      <c r="H100" s="227">
        <v>-8435</v>
      </c>
      <c r="J100" s="22" t="s">
        <v>2102</v>
      </c>
    </row>
    <row r="101" spans="1:10" x14ac:dyDescent="0.3">
      <c r="A101" s="22" t="s">
        <v>2046</v>
      </c>
      <c r="B101" s="22" t="s">
        <v>2050</v>
      </c>
      <c r="D101" s="227">
        <v>0</v>
      </c>
      <c r="E101" s="227">
        <f t="shared" si="4"/>
        <v>0</v>
      </c>
      <c r="F101" s="229" t="e">
        <f t="shared" si="5"/>
        <v>#DIV/0!</v>
      </c>
      <c r="J101" s="22" t="s">
        <v>2246</v>
      </c>
    </row>
    <row r="102" spans="1:10" x14ac:dyDescent="0.3">
      <c r="A102" s="22" t="s">
        <v>12</v>
      </c>
      <c r="C102" s="227">
        <v>0</v>
      </c>
      <c r="D102" s="227">
        <v>-8435</v>
      </c>
      <c r="E102" s="227">
        <f t="shared" si="4"/>
        <v>8435</v>
      </c>
      <c r="F102" s="229">
        <f t="shared" si="5"/>
        <v>-1</v>
      </c>
      <c r="G102" s="227">
        <v>0</v>
      </c>
      <c r="H102" s="227">
        <v>-8435</v>
      </c>
    </row>
    <row r="103" spans="1:10" x14ac:dyDescent="0.3">
      <c r="D103" s="227">
        <v>0</v>
      </c>
      <c r="E103" s="227">
        <f t="shared" si="4"/>
        <v>0</v>
      </c>
      <c r="F103" s="229" t="e">
        <f t="shared" si="5"/>
        <v>#DIV/0!</v>
      </c>
    </row>
    <row r="104" spans="1:10" x14ac:dyDescent="0.3">
      <c r="A104" s="22" t="s">
        <v>185</v>
      </c>
      <c r="B104" s="22" t="s">
        <v>2316</v>
      </c>
      <c r="C104" s="227">
        <v>0</v>
      </c>
      <c r="D104" s="227">
        <v>-8435</v>
      </c>
      <c r="E104" s="227">
        <f t="shared" si="4"/>
        <v>8435</v>
      </c>
      <c r="F104" s="229">
        <f t="shared" si="5"/>
        <v>-1</v>
      </c>
      <c r="G104" s="227">
        <v>0</v>
      </c>
      <c r="H104" s="227">
        <v>-8435</v>
      </c>
    </row>
    <row r="105" spans="1:10" x14ac:dyDescent="0.3">
      <c r="D105" s="227">
        <v>0</v>
      </c>
      <c r="E105" s="227">
        <f t="shared" si="4"/>
        <v>0</v>
      </c>
      <c r="F105" s="229" t="e">
        <f t="shared" si="5"/>
        <v>#DIV/0!</v>
      </c>
    </row>
    <row r="106" spans="1:10" x14ac:dyDescent="0.3">
      <c r="A106" s="22" t="s">
        <v>186</v>
      </c>
      <c r="B106" s="22" t="s">
        <v>568</v>
      </c>
      <c r="C106" s="227">
        <v>-4600</v>
      </c>
      <c r="D106" s="227">
        <v>-4647</v>
      </c>
      <c r="E106" s="227">
        <f t="shared" si="4"/>
        <v>47</v>
      </c>
      <c r="F106" s="229">
        <f t="shared" si="5"/>
        <v>-1.0114052076608565E-2</v>
      </c>
      <c r="G106" s="227">
        <v>0</v>
      </c>
      <c r="H106" s="227">
        <v>-4647</v>
      </c>
      <c r="J106" s="22" t="s">
        <v>2104</v>
      </c>
    </row>
    <row r="107" spans="1:10" x14ac:dyDescent="0.3">
      <c r="A107" s="22" t="s">
        <v>12</v>
      </c>
      <c r="C107" s="227">
        <v>-4600</v>
      </c>
      <c r="D107" s="227">
        <v>-4647</v>
      </c>
      <c r="E107" s="227">
        <f t="shared" si="4"/>
        <v>47</v>
      </c>
      <c r="F107" s="229">
        <f t="shared" si="5"/>
        <v>-1.0114052076608565E-2</v>
      </c>
      <c r="G107" s="227">
        <v>0</v>
      </c>
      <c r="H107" s="227">
        <v>-4647</v>
      </c>
    </row>
    <row r="108" spans="1:10" x14ac:dyDescent="0.3">
      <c r="D108" s="227">
        <v>0</v>
      </c>
      <c r="E108" s="227">
        <f t="shared" si="4"/>
        <v>0</v>
      </c>
      <c r="F108" s="229" t="e">
        <f t="shared" si="5"/>
        <v>#DIV/0!</v>
      </c>
    </row>
    <row r="109" spans="1:10" x14ac:dyDescent="0.3">
      <c r="A109" s="22" t="s">
        <v>187</v>
      </c>
      <c r="B109" s="22" t="s">
        <v>2023</v>
      </c>
      <c r="C109" s="227">
        <v>-4600</v>
      </c>
      <c r="D109" s="227">
        <v>-4647</v>
      </c>
      <c r="E109" s="227">
        <f t="shared" si="4"/>
        <v>47</v>
      </c>
      <c r="F109" s="229">
        <f t="shared" si="5"/>
        <v>-1.0114052076608565E-2</v>
      </c>
      <c r="G109" s="227">
        <v>0</v>
      </c>
      <c r="H109" s="227">
        <v>-4647</v>
      </c>
    </row>
    <row r="110" spans="1:10" x14ac:dyDescent="0.3">
      <c r="D110" s="227">
        <v>0</v>
      </c>
      <c r="E110" s="227">
        <f t="shared" si="4"/>
        <v>0</v>
      </c>
      <c r="F110" s="229" t="e">
        <f t="shared" si="5"/>
        <v>#DIV/0!</v>
      </c>
    </row>
    <row r="111" spans="1:10" x14ac:dyDescent="0.3">
      <c r="A111" s="22" t="s">
        <v>188</v>
      </c>
      <c r="B111" s="22" t="s">
        <v>566</v>
      </c>
      <c r="C111" s="227">
        <v>-8500</v>
      </c>
      <c r="D111" s="227">
        <v>-8500</v>
      </c>
      <c r="E111" s="227">
        <f t="shared" si="4"/>
        <v>0</v>
      </c>
      <c r="F111" s="229">
        <f t="shared" si="5"/>
        <v>0</v>
      </c>
      <c r="G111" s="227">
        <v>0</v>
      </c>
      <c r="H111" s="227">
        <v>-8500</v>
      </c>
    </row>
    <row r="112" spans="1:10" x14ac:dyDescent="0.3">
      <c r="A112" s="22" t="s">
        <v>12</v>
      </c>
      <c r="C112" s="227">
        <v>-8500</v>
      </c>
      <c r="D112" s="227">
        <v>-8500</v>
      </c>
      <c r="E112" s="227">
        <f t="shared" si="4"/>
        <v>0</v>
      </c>
      <c r="F112" s="229">
        <f t="shared" si="5"/>
        <v>0</v>
      </c>
      <c r="G112" s="227">
        <v>0</v>
      </c>
      <c r="H112" s="227">
        <v>-8500</v>
      </c>
    </row>
    <row r="113" spans="1:10" x14ac:dyDescent="0.3">
      <c r="D113" s="227">
        <v>0</v>
      </c>
      <c r="E113" s="227">
        <f t="shared" si="4"/>
        <v>0</v>
      </c>
      <c r="F113" s="229" t="e">
        <f t="shared" si="5"/>
        <v>#DIV/0!</v>
      </c>
    </row>
    <row r="114" spans="1:10" x14ac:dyDescent="0.3">
      <c r="A114" s="22" t="s">
        <v>189</v>
      </c>
      <c r="B114" s="22" t="s">
        <v>2024</v>
      </c>
      <c r="C114" s="227">
        <v>-8500</v>
      </c>
      <c r="D114" s="227">
        <v>-8500</v>
      </c>
      <c r="E114" s="227">
        <f t="shared" si="4"/>
        <v>0</v>
      </c>
      <c r="F114" s="229">
        <f t="shared" si="5"/>
        <v>0</v>
      </c>
      <c r="G114" s="227">
        <v>0</v>
      </c>
      <c r="H114" s="227">
        <v>-8500</v>
      </c>
    </row>
    <row r="115" spans="1:10" x14ac:dyDescent="0.3">
      <c r="D115" s="227">
        <v>0</v>
      </c>
      <c r="E115" s="227">
        <f t="shared" si="4"/>
        <v>0</v>
      </c>
      <c r="F115" s="229" t="e">
        <f t="shared" si="5"/>
        <v>#DIV/0!</v>
      </c>
    </row>
    <row r="116" spans="1:10" x14ac:dyDescent="0.3">
      <c r="A116" s="22" t="s">
        <v>190</v>
      </c>
      <c r="B116" s="22" t="s">
        <v>570</v>
      </c>
      <c r="C116" s="227">
        <v>-10000</v>
      </c>
      <c r="D116" s="227">
        <v>-10274.24</v>
      </c>
      <c r="E116" s="227">
        <f t="shared" si="4"/>
        <v>274.23999999999978</v>
      </c>
      <c r="F116" s="229">
        <f t="shared" si="5"/>
        <v>-2.6691998629582315E-2</v>
      </c>
      <c r="G116" s="227">
        <v>-2000</v>
      </c>
      <c r="H116" s="227">
        <v>-8274.24</v>
      </c>
      <c r="J116" s="22" t="s">
        <v>2105</v>
      </c>
    </row>
    <row r="117" spans="1:10" x14ac:dyDescent="0.3">
      <c r="A117" s="22" t="s">
        <v>12</v>
      </c>
      <c r="C117" s="227">
        <v>-10000</v>
      </c>
      <c r="D117" s="227">
        <v>-10274.24</v>
      </c>
      <c r="E117" s="227">
        <f t="shared" si="4"/>
        <v>274.23999999999978</v>
      </c>
      <c r="F117" s="229">
        <f t="shared" si="5"/>
        <v>-2.6691998629582315E-2</v>
      </c>
      <c r="G117" s="227">
        <v>-2000</v>
      </c>
      <c r="H117" s="227">
        <v>-8274.24</v>
      </c>
    </row>
    <row r="118" spans="1:10" x14ac:dyDescent="0.3">
      <c r="D118" s="227">
        <v>0</v>
      </c>
      <c r="E118" s="227">
        <f t="shared" si="4"/>
        <v>0</v>
      </c>
      <c r="F118" s="229" t="e">
        <f t="shared" si="5"/>
        <v>#DIV/0!</v>
      </c>
    </row>
    <row r="119" spans="1:10" x14ac:dyDescent="0.3">
      <c r="A119" s="22" t="s">
        <v>191</v>
      </c>
      <c r="B119" s="22" t="s">
        <v>2025</v>
      </c>
      <c r="C119" s="227">
        <v>-10000</v>
      </c>
      <c r="D119" s="227">
        <v>-10274.24</v>
      </c>
      <c r="E119" s="227">
        <f t="shared" si="4"/>
        <v>274.23999999999978</v>
      </c>
      <c r="F119" s="229">
        <f t="shared" si="5"/>
        <v>-2.6691998629582315E-2</v>
      </c>
      <c r="G119" s="227">
        <v>-2000</v>
      </c>
      <c r="H119" s="227">
        <v>-8274.24</v>
      </c>
    </row>
    <row r="120" spans="1:10" x14ac:dyDescent="0.3">
      <c r="D120" s="227">
        <v>0</v>
      </c>
      <c r="E120" s="227">
        <f t="shared" si="4"/>
        <v>0</v>
      </c>
      <c r="F120" s="229" t="e">
        <f t="shared" si="5"/>
        <v>#DIV/0!</v>
      </c>
    </row>
    <row r="121" spans="1:10" x14ac:dyDescent="0.3">
      <c r="A121" s="22" t="s">
        <v>192</v>
      </c>
      <c r="B121" s="22" t="s">
        <v>578</v>
      </c>
      <c r="C121" s="227">
        <v>-40000</v>
      </c>
      <c r="D121" s="227">
        <v>-41732.68</v>
      </c>
      <c r="E121" s="227">
        <f t="shared" si="4"/>
        <v>1732.6800000000003</v>
      </c>
      <c r="F121" s="229">
        <f t="shared" si="5"/>
        <v>-4.1518541344576963E-2</v>
      </c>
      <c r="G121" s="227">
        <v>-5000</v>
      </c>
      <c r="H121" s="227">
        <v>-36732.68</v>
      </c>
      <c r="J121" s="22" t="s">
        <v>2106</v>
      </c>
    </row>
    <row r="122" spans="1:10" x14ac:dyDescent="0.3">
      <c r="A122" s="22" t="s">
        <v>12</v>
      </c>
      <c r="C122" s="227">
        <v>-40000</v>
      </c>
      <c r="D122" s="227">
        <v>-41732.68</v>
      </c>
      <c r="E122" s="227">
        <f t="shared" si="4"/>
        <v>1732.6800000000003</v>
      </c>
      <c r="F122" s="229">
        <f t="shared" si="5"/>
        <v>-4.1518541344576963E-2</v>
      </c>
      <c r="G122" s="227">
        <v>-5000</v>
      </c>
      <c r="H122" s="227">
        <v>-36732.68</v>
      </c>
    </row>
    <row r="123" spans="1:10" x14ac:dyDescent="0.3">
      <c r="D123" s="227">
        <v>0</v>
      </c>
      <c r="E123" s="227">
        <f t="shared" si="4"/>
        <v>0</v>
      </c>
      <c r="F123" s="229" t="e">
        <f t="shared" si="5"/>
        <v>#DIV/0!</v>
      </c>
    </row>
    <row r="124" spans="1:10" x14ac:dyDescent="0.3">
      <c r="A124" s="22" t="s">
        <v>193</v>
      </c>
      <c r="B124" s="22" t="s">
        <v>2026</v>
      </c>
      <c r="C124" s="227">
        <v>-40000</v>
      </c>
      <c r="D124" s="227">
        <v>-41732.68</v>
      </c>
      <c r="E124" s="227">
        <f t="shared" si="4"/>
        <v>1732.6800000000003</v>
      </c>
      <c r="F124" s="229">
        <f t="shared" si="5"/>
        <v>-4.1518541344576963E-2</v>
      </c>
      <c r="G124" s="227">
        <v>-5000</v>
      </c>
      <c r="H124" s="227">
        <v>-36732.68</v>
      </c>
    </row>
    <row r="125" spans="1:10" x14ac:dyDescent="0.3">
      <c r="D125" s="227">
        <v>0</v>
      </c>
      <c r="E125" s="227">
        <f t="shared" si="4"/>
        <v>0</v>
      </c>
      <c r="F125" s="229" t="e">
        <f t="shared" si="5"/>
        <v>#DIV/0!</v>
      </c>
    </row>
    <row r="126" spans="1:10" x14ac:dyDescent="0.3">
      <c r="A126" s="22" t="s">
        <v>194</v>
      </c>
      <c r="B126" s="22" t="s">
        <v>564</v>
      </c>
      <c r="C126" s="227">
        <v>0</v>
      </c>
      <c r="D126" s="227">
        <v>0</v>
      </c>
      <c r="E126" s="227">
        <f t="shared" si="4"/>
        <v>0</v>
      </c>
      <c r="F126" s="229" t="e">
        <f t="shared" si="5"/>
        <v>#DIV/0!</v>
      </c>
      <c r="G126" s="227">
        <v>0</v>
      </c>
      <c r="H126" s="227">
        <v>0</v>
      </c>
    </row>
    <row r="127" spans="1:10" x14ac:dyDescent="0.3">
      <c r="A127" s="22" t="s">
        <v>12</v>
      </c>
      <c r="C127" s="227">
        <v>0</v>
      </c>
      <c r="D127" s="227">
        <v>0</v>
      </c>
      <c r="E127" s="227">
        <f t="shared" si="4"/>
        <v>0</v>
      </c>
      <c r="F127" s="229" t="e">
        <f t="shared" si="5"/>
        <v>#DIV/0!</v>
      </c>
      <c r="G127" s="227">
        <v>0</v>
      </c>
      <c r="H127" s="227">
        <v>0</v>
      </c>
    </row>
    <row r="128" spans="1:10" x14ac:dyDescent="0.3">
      <c r="D128" s="227">
        <v>0</v>
      </c>
      <c r="E128" s="227">
        <f t="shared" si="4"/>
        <v>0</v>
      </c>
      <c r="F128" s="229" t="e">
        <f t="shared" si="5"/>
        <v>#DIV/0!</v>
      </c>
    </row>
    <row r="129" spans="1:11" x14ac:dyDescent="0.3">
      <c r="A129" s="22" t="s">
        <v>195</v>
      </c>
      <c r="B129" s="22" t="s">
        <v>2027</v>
      </c>
      <c r="C129" s="227">
        <v>0</v>
      </c>
      <c r="D129" s="227">
        <v>0</v>
      </c>
      <c r="E129" s="227">
        <f t="shared" si="4"/>
        <v>0</v>
      </c>
      <c r="F129" s="229" t="e">
        <f t="shared" si="5"/>
        <v>#DIV/0!</v>
      </c>
      <c r="G129" s="227">
        <v>0</v>
      </c>
      <c r="H129" s="227">
        <v>0</v>
      </c>
    </row>
    <row r="130" spans="1:11" x14ac:dyDescent="0.3">
      <c r="D130" s="227">
        <v>0</v>
      </c>
      <c r="E130" s="227">
        <f t="shared" si="4"/>
        <v>0</v>
      </c>
      <c r="F130" s="229" t="e">
        <f t="shared" si="5"/>
        <v>#DIV/0!</v>
      </c>
    </row>
    <row r="131" spans="1:11" x14ac:dyDescent="0.3">
      <c r="A131" s="22" t="s">
        <v>196</v>
      </c>
      <c r="B131" s="22" t="s">
        <v>562</v>
      </c>
      <c r="C131" s="227">
        <v>-500</v>
      </c>
      <c r="D131" s="227">
        <v>-565.22</v>
      </c>
      <c r="E131" s="227">
        <f t="shared" si="4"/>
        <v>65.220000000000027</v>
      </c>
      <c r="F131" s="229">
        <f t="shared" si="5"/>
        <v>-0.11538869820600832</v>
      </c>
      <c r="G131" s="227">
        <v>0</v>
      </c>
      <c r="H131" s="227">
        <v>-565.22</v>
      </c>
      <c r="J131" s="22" t="s">
        <v>2107</v>
      </c>
    </row>
    <row r="132" spans="1:11" x14ac:dyDescent="0.3">
      <c r="A132" s="22" t="s">
        <v>197</v>
      </c>
      <c r="B132" s="22" t="s">
        <v>574</v>
      </c>
      <c r="C132" s="227">
        <v>-100</v>
      </c>
      <c r="D132" s="227">
        <v>-161.62</v>
      </c>
      <c r="E132" s="227">
        <f t="shared" si="4"/>
        <v>61.620000000000005</v>
      </c>
      <c r="F132" s="229">
        <f t="shared" si="5"/>
        <v>-0.38126469496349463</v>
      </c>
      <c r="G132" s="227">
        <v>0</v>
      </c>
      <c r="H132" s="227">
        <v>-161.62</v>
      </c>
    </row>
    <row r="133" spans="1:11" x14ac:dyDescent="0.3">
      <c r="A133" s="22" t="s">
        <v>2065</v>
      </c>
      <c r="B133" s="22" t="s">
        <v>1059</v>
      </c>
      <c r="D133" s="227">
        <v>-2500</v>
      </c>
      <c r="E133" s="227">
        <f t="shared" si="4"/>
        <v>2500</v>
      </c>
      <c r="F133" s="229">
        <f t="shared" si="5"/>
        <v>-1</v>
      </c>
      <c r="H133" s="227">
        <v>-2500</v>
      </c>
    </row>
    <row r="134" spans="1:11" x14ac:dyDescent="0.3">
      <c r="A134" s="22" t="s">
        <v>12</v>
      </c>
      <c r="C134" s="227">
        <v>-600</v>
      </c>
      <c r="D134" s="227">
        <v>-3226.84</v>
      </c>
      <c r="E134" s="227">
        <f t="shared" si="4"/>
        <v>2626.84</v>
      </c>
      <c r="F134" s="229">
        <f t="shared" si="5"/>
        <v>-0.81405957531207007</v>
      </c>
      <c r="G134" s="227">
        <v>0</v>
      </c>
      <c r="H134" s="227">
        <v>-3226.84</v>
      </c>
    </row>
    <row r="135" spans="1:11" x14ac:dyDescent="0.3">
      <c r="D135" s="227">
        <v>0</v>
      </c>
      <c r="E135" s="227">
        <f t="shared" si="4"/>
        <v>0</v>
      </c>
      <c r="F135" s="229" t="e">
        <f t="shared" si="5"/>
        <v>#DIV/0!</v>
      </c>
    </row>
    <row r="136" spans="1:11" x14ac:dyDescent="0.3">
      <c r="A136" s="22" t="s">
        <v>198</v>
      </c>
      <c r="B136" s="22" t="s">
        <v>2028</v>
      </c>
      <c r="C136" s="227">
        <v>-600</v>
      </c>
      <c r="D136" s="227">
        <v>-3226.84</v>
      </c>
      <c r="E136" s="227">
        <f t="shared" ref="E136:E199" si="6">C136-D136</f>
        <v>2626.84</v>
      </c>
      <c r="F136" s="229">
        <f t="shared" ref="F136:F199" si="7">E136/D136</f>
        <v>-0.81405957531207007</v>
      </c>
      <c r="G136" s="227">
        <v>0</v>
      </c>
      <c r="H136" s="227">
        <v>-3226.84</v>
      </c>
    </row>
    <row r="137" spans="1:11" x14ac:dyDescent="0.3">
      <c r="D137" s="227">
        <v>0</v>
      </c>
      <c r="E137" s="227">
        <f t="shared" si="6"/>
        <v>0</v>
      </c>
      <c r="F137" s="229" t="e">
        <f t="shared" si="7"/>
        <v>#DIV/0!</v>
      </c>
    </row>
    <row r="138" spans="1:11" x14ac:dyDescent="0.3">
      <c r="A138" s="22" t="s">
        <v>199</v>
      </c>
      <c r="B138" s="22" t="s">
        <v>560</v>
      </c>
      <c r="C138" s="227">
        <v>-3500</v>
      </c>
      <c r="D138" s="227">
        <v>-2325</v>
      </c>
      <c r="E138" s="227">
        <f t="shared" si="6"/>
        <v>-1175</v>
      </c>
      <c r="F138" s="229">
        <f t="shared" si="7"/>
        <v>0.5053763440860215</v>
      </c>
      <c r="G138" s="227">
        <v>0</v>
      </c>
      <c r="H138" s="227">
        <v>-2325</v>
      </c>
      <c r="J138" s="22" t="s">
        <v>2108</v>
      </c>
    </row>
    <row r="139" spans="1:11" x14ac:dyDescent="0.3">
      <c r="A139" s="22" t="s">
        <v>12</v>
      </c>
      <c r="C139" s="227">
        <v>-3500</v>
      </c>
      <c r="D139" s="227">
        <v>-2325</v>
      </c>
      <c r="E139" s="227">
        <f t="shared" si="6"/>
        <v>-1175</v>
      </c>
      <c r="F139" s="229">
        <f t="shared" si="7"/>
        <v>0.5053763440860215</v>
      </c>
      <c r="G139" s="227">
        <v>0</v>
      </c>
      <c r="H139" s="227">
        <v>-2325</v>
      </c>
    </row>
    <row r="140" spans="1:11" x14ac:dyDescent="0.3">
      <c r="D140" s="227">
        <v>0</v>
      </c>
      <c r="E140" s="227">
        <f t="shared" si="6"/>
        <v>0</v>
      </c>
      <c r="F140" s="229" t="e">
        <f t="shared" si="7"/>
        <v>#DIV/0!</v>
      </c>
    </row>
    <row r="141" spans="1:11" x14ac:dyDescent="0.3">
      <c r="A141" s="22" t="s">
        <v>200</v>
      </c>
      <c r="B141" s="22" t="s">
        <v>2029</v>
      </c>
      <c r="C141" s="227">
        <v>-3500</v>
      </c>
      <c r="D141" s="227">
        <v>-2325</v>
      </c>
      <c r="E141" s="227">
        <f t="shared" si="6"/>
        <v>-1175</v>
      </c>
      <c r="F141" s="229">
        <f t="shared" si="7"/>
        <v>0.5053763440860215</v>
      </c>
      <c r="G141" s="227">
        <v>0</v>
      </c>
      <c r="H141" s="227">
        <v>-2325</v>
      </c>
    </row>
    <row r="142" spans="1:11" x14ac:dyDescent="0.3">
      <c r="D142" s="227">
        <v>0</v>
      </c>
      <c r="E142" s="227">
        <f t="shared" si="6"/>
        <v>0</v>
      </c>
      <c r="F142" s="229" t="e">
        <f t="shared" si="7"/>
        <v>#DIV/0!</v>
      </c>
    </row>
    <row r="143" spans="1:11" x14ac:dyDescent="0.3">
      <c r="A143" s="22" t="s">
        <v>201</v>
      </c>
      <c r="B143" s="22" t="s">
        <v>1332</v>
      </c>
      <c r="D143" s="227">
        <v>0</v>
      </c>
      <c r="E143" s="227">
        <f t="shared" si="6"/>
        <v>0</v>
      </c>
      <c r="F143" s="229" t="e">
        <f t="shared" si="7"/>
        <v>#DIV/0!</v>
      </c>
      <c r="G143" s="227">
        <v>-550.08000000000004</v>
      </c>
      <c r="H143" s="227">
        <v>550.08000000000004</v>
      </c>
    </row>
    <row r="144" spans="1:11" x14ac:dyDescent="0.3">
      <c r="A144" s="22" t="s">
        <v>202</v>
      </c>
      <c r="B144" s="22" t="s">
        <v>823</v>
      </c>
      <c r="D144" s="227">
        <v>0</v>
      </c>
      <c r="E144" s="227">
        <f t="shared" si="6"/>
        <v>0</v>
      </c>
      <c r="F144" s="229" t="e">
        <f t="shared" si="7"/>
        <v>#DIV/0!</v>
      </c>
      <c r="G144" s="227">
        <v>390.3</v>
      </c>
      <c r="H144" s="227">
        <v>-390.3</v>
      </c>
      <c r="K144" s="22">
        <v>795.33333333333337</v>
      </c>
    </row>
    <row r="145" spans="1:12" x14ac:dyDescent="0.3">
      <c r="A145" s="22" t="s">
        <v>203</v>
      </c>
      <c r="B145" s="22" t="s">
        <v>827</v>
      </c>
      <c r="D145" s="227">
        <v>0</v>
      </c>
      <c r="E145" s="227">
        <f t="shared" si="6"/>
        <v>0</v>
      </c>
      <c r="F145" s="229" t="e">
        <f t="shared" si="7"/>
        <v>#DIV/0!</v>
      </c>
      <c r="G145" s="227">
        <v>-1880.18</v>
      </c>
      <c r="H145" s="227">
        <v>1880.18</v>
      </c>
      <c r="K145" s="22">
        <v>4500</v>
      </c>
    </row>
    <row r="146" spans="1:12" x14ac:dyDescent="0.3">
      <c r="A146" s="22" t="s">
        <v>204</v>
      </c>
      <c r="B146" s="22" t="s">
        <v>828</v>
      </c>
      <c r="C146" s="227">
        <v>4500</v>
      </c>
      <c r="D146" s="227">
        <v>5203.12</v>
      </c>
      <c r="E146" s="227">
        <f t="shared" si="6"/>
        <v>-703.11999999999989</v>
      </c>
      <c r="F146" s="229">
        <f t="shared" si="7"/>
        <v>-0.13513430403296481</v>
      </c>
      <c r="H146" s="227">
        <v>5203.12</v>
      </c>
    </row>
    <row r="147" spans="1:12" x14ac:dyDescent="0.3">
      <c r="A147" s="22" t="s">
        <v>205</v>
      </c>
      <c r="B147" s="22" t="s">
        <v>887</v>
      </c>
      <c r="C147" s="227">
        <v>245241</v>
      </c>
      <c r="D147" s="227">
        <v>225384.22999999998</v>
      </c>
      <c r="E147" s="227">
        <f t="shared" si="6"/>
        <v>19856.770000000019</v>
      </c>
      <c r="F147" s="229">
        <f t="shared" si="7"/>
        <v>8.8101860542771873E-2</v>
      </c>
      <c r="G147" s="227">
        <v>95304</v>
      </c>
      <c r="H147" s="227">
        <v>130080.23</v>
      </c>
      <c r="J147" s="22">
        <v>225384</v>
      </c>
      <c r="K147" s="22">
        <v>95303.77</v>
      </c>
      <c r="L147" s="22" t="s">
        <v>2120</v>
      </c>
    </row>
    <row r="148" spans="1:12" x14ac:dyDescent="0.3">
      <c r="A148" s="22" t="s">
        <v>206</v>
      </c>
      <c r="B148" s="22" t="s">
        <v>1377</v>
      </c>
      <c r="D148" s="227">
        <v>0</v>
      </c>
      <c r="E148" s="227">
        <f t="shared" si="6"/>
        <v>0</v>
      </c>
      <c r="F148" s="229" t="e">
        <f t="shared" si="7"/>
        <v>#DIV/0!</v>
      </c>
      <c r="G148" s="227">
        <v>-1657.37</v>
      </c>
      <c r="H148" s="227">
        <v>1657.37</v>
      </c>
      <c r="J148" s="22" t="s">
        <v>2110</v>
      </c>
    </row>
    <row r="149" spans="1:12" x14ac:dyDescent="0.3">
      <c r="A149" s="22" t="s">
        <v>207</v>
      </c>
      <c r="B149" s="22" t="s">
        <v>1378</v>
      </c>
      <c r="D149" s="227">
        <v>0</v>
      </c>
      <c r="E149" s="227">
        <f t="shared" si="6"/>
        <v>0</v>
      </c>
      <c r="F149" s="229" t="e">
        <f t="shared" si="7"/>
        <v>#DIV/0!</v>
      </c>
      <c r="G149" s="227">
        <v>-1055</v>
      </c>
      <c r="H149" s="227">
        <v>1055</v>
      </c>
    </row>
    <row r="150" spans="1:12" x14ac:dyDescent="0.3">
      <c r="A150" s="22" t="s">
        <v>208</v>
      </c>
      <c r="B150" s="22" t="s">
        <v>889</v>
      </c>
      <c r="D150" s="227">
        <v>0</v>
      </c>
      <c r="E150" s="227">
        <f t="shared" si="6"/>
        <v>0</v>
      </c>
      <c r="F150" s="229" t="e">
        <f t="shared" si="7"/>
        <v>#DIV/0!</v>
      </c>
      <c r="G150" s="227">
        <v>520.64</v>
      </c>
      <c r="H150" s="227">
        <v>-520.64</v>
      </c>
    </row>
    <row r="151" spans="1:12" x14ac:dyDescent="0.3">
      <c r="A151" s="22" t="s">
        <v>209</v>
      </c>
      <c r="B151" s="22" t="s">
        <v>1443</v>
      </c>
      <c r="D151" s="227">
        <v>0</v>
      </c>
      <c r="E151" s="227">
        <f t="shared" si="6"/>
        <v>0</v>
      </c>
      <c r="F151" s="229" t="e">
        <f t="shared" si="7"/>
        <v>#DIV/0!</v>
      </c>
      <c r="H151" s="227">
        <v>0</v>
      </c>
    </row>
    <row r="152" spans="1:12" x14ac:dyDescent="0.3">
      <c r="A152" s="22" t="s">
        <v>2068</v>
      </c>
      <c r="B152" s="22" t="s">
        <v>1330</v>
      </c>
      <c r="D152" s="227">
        <v>0</v>
      </c>
      <c r="E152" s="227">
        <f t="shared" si="6"/>
        <v>0</v>
      </c>
      <c r="F152" s="229" t="e">
        <f t="shared" si="7"/>
        <v>#DIV/0!</v>
      </c>
      <c r="H152" s="227">
        <v>0</v>
      </c>
    </row>
    <row r="153" spans="1:12" x14ac:dyDescent="0.3">
      <c r="A153" s="22" t="s">
        <v>2069</v>
      </c>
      <c r="B153" s="22" t="s">
        <v>1338</v>
      </c>
      <c r="D153" s="227">
        <v>0</v>
      </c>
      <c r="E153" s="227">
        <f t="shared" si="6"/>
        <v>0</v>
      </c>
      <c r="F153" s="229" t="e">
        <f t="shared" si="7"/>
        <v>#DIV/0!</v>
      </c>
      <c r="H153" s="227">
        <v>0</v>
      </c>
    </row>
    <row r="154" spans="1:12" x14ac:dyDescent="0.3">
      <c r="A154" s="22" t="s">
        <v>2070</v>
      </c>
      <c r="B154" s="22" t="s">
        <v>1340</v>
      </c>
      <c r="D154" s="227">
        <v>0</v>
      </c>
      <c r="E154" s="227">
        <f t="shared" si="6"/>
        <v>0</v>
      </c>
      <c r="F154" s="229" t="e">
        <f t="shared" si="7"/>
        <v>#DIV/0!</v>
      </c>
      <c r="H154" s="227">
        <v>0</v>
      </c>
    </row>
    <row r="155" spans="1:12" x14ac:dyDescent="0.3">
      <c r="A155" s="22" t="s">
        <v>5</v>
      </c>
      <c r="C155" s="227">
        <v>249741</v>
      </c>
      <c r="D155" s="227">
        <v>230587.34999999998</v>
      </c>
      <c r="E155" s="227">
        <f t="shared" si="6"/>
        <v>19153.650000000023</v>
      </c>
      <c r="F155" s="229">
        <f t="shared" si="7"/>
        <v>8.3064617378186725E-2</v>
      </c>
      <c r="G155" s="227">
        <v>91072.31</v>
      </c>
      <c r="H155" s="227">
        <v>139515.03999999998</v>
      </c>
    </row>
    <row r="156" spans="1:12" x14ac:dyDescent="0.3">
      <c r="D156" s="227">
        <v>0</v>
      </c>
      <c r="E156" s="227">
        <f t="shared" si="6"/>
        <v>0</v>
      </c>
      <c r="F156" s="229" t="e">
        <f t="shared" si="7"/>
        <v>#DIV/0!</v>
      </c>
    </row>
    <row r="157" spans="1:12" x14ac:dyDescent="0.3">
      <c r="A157" s="22" t="s">
        <v>210</v>
      </c>
      <c r="B157" s="22" t="s">
        <v>1870</v>
      </c>
      <c r="C157" s="227">
        <v>249741</v>
      </c>
      <c r="D157" s="227">
        <v>230587.34999999998</v>
      </c>
      <c r="E157" s="227">
        <f t="shared" si="6"/>
        <v>19153.650000000023</v>
      </c>
      <c r="F157" s="229">
        <f t="shared" si="7"/>
        <v>8.3064617378186725E-2</v>
      </c>
      <c r="G157" s="227">
        <v>91072.31</v>
      </c>
      <c r="H157" s="227">
        <v>139515.03999999998</v>
      </c>
    </row>
    <row r="158" spans="1:12" x14ac:dyDescent="0.3">
      <c r="D158" s="227">
        <v>0</v>
      </c>
      <c r="E158" s="227">
        <f t="shared" si="6"/>
        <v>0</v>
      </c>
      <c r="F158" s="229" t="e">
        <f t="shared" si="7"/>
        <v>#DIV/0!</v>
      </c>
    </row>
    <row r="159" spans="1:12" x14ac:dyDescent="0.3">
      <c r="A159" s="22" t="s">
        <v>211</v>
      </c>
      <c r="B159" s="22" t="s">
        <v>834</v>
      </c>
      <c r="C159" s="227">
        <v>1350</v>
      </c>
      <c r="D159" s="227">
        <v>1351.68</v>
      </c>
      <c r="E159" s="227">
        <f t="shared" si="6"/>
        <v>-1.6800000000000637</v>
      </c>
      <c r="F159" s="229">
        <f t="shared" si="7"/>
        <v>-1.2428977272727743E-3</v>
      </c>
      <c r="H159" s="227">
        <v>1351.68</v>
      </c>
    </row>
    <row r="160" spans="1:12" x14ac:dyDescent="0.3">
      <c r="A160" s="22" t="s">
        <v>5</v>
      </c>
      <c r="C160" s="227">
        <v>1350</v>
      </c>
      <c r="D160" s="227">
        <v>1351.68</v>
      </c>
      <c r="E160" s="227">
        <f t="shared" si="6"/>
        <v>-1.6800000000000637</v>
      </c>
      <c r="F160" s="229">
        <f t="shared" si="7"/>
        <v>-1.2428977272727743E-3</v>
      </c>
      <c r="G160" s="227">
        <v>0</v>
      </c>
      <c r="H160" s="227">
        <v>1351.68</v>
      </c>
    </row>
    <row r="161" spans="1:11" x14ac:dyDescent="0.3">
      <c r="D161" s="227">
        <v>0</v>
      </c>
      <c r="E161" s="227">
        <f t="shared" si="6"/>
        <v>0</v>
      </c>
      <c r="F161" s="229" t="e">
        <f t="shared" si="7"/>
        <v>#DIV/0!</v>
      </c>
      <c r="H161" s="227">
        <v>0</v>
      </c>
    </row>
    <row r="162" spans="1:11" x14ac:dyDescent="0.3">
      <c r="A162" s="22" t="s">
        <v>212</v>
      </c>
      <c r="B162" s="22" t="s">
        <v>1866</v>
      </c>
      <c r="C162" s="227">
        <v>1350</v>
      </c>
      <c r="D162" s="227">
        <v>1351.68</v>
      </c>
      <c r="E162" s="227">
        <f t="shared" si="6"/>
        <v>-1.6800000000000637</v>
      </c>
      <c r="F162" s="229">
        <f t="shared" si="7"/>
        <v>-1.2428977272727743E-3</v>
      </c>
      <c r="G162" s="227">
        <v>0</v>
      </c>
      <c r="H162" s="227">
        <v>1351.68</v>
      </c>
    </row>
    <row r="163" spans="1:11" x14ac:dyDescent="0.3">
      <c r="D163" s="227">
        <v>0</v>
      </c>
      <c r="E163" s="227">
        <f t="shared" si="6"/>
        <v>0</v>
      </c>
      <c r="F163" s="229" t="e">
        <f t="shared" si="7"/>
        <v>#DIV/0!</v>
      </c>
      <c r="H163" s="227">
        <v>0</v>
      </c>
    </row>
    <row r="164" spans="1:11" x14ac:dyDescent="0.3">
      <c r="A164" s="22" t="s">
        <v>213</v>
      </c>
      <c r="B164" s="22" t="s">
        <v>845</v>
      </c>
      <c r="C164" s="227">
        <v>11500</v>
      </c>
      <c r="D164" s="227">
        <v>11212</v>
      </c>
      <c r="E164" s="227">
        <f t="shared" si="6"/>
        <v>288</v>
      </c>
      <c r="F164" s="229">
        <f t="shared" si="7"/>
        <v>2.5686764181234393E-2</v>
      </c>
      <c r="G164" s="227">
        <v>11000</v>
      </c>
      <c r="H164" s="227">
        <v>212</v>
      </c>
    </row>
    <row r="165" spans="1:11" x14ac:dyDescent="0.3">
      <c r="A165" s="22" t="s">
        <v>214</v>
      </c>
      <c r="B165" s="22" t="s">
        <v>847</v>
      </c>
      <c r="C165" s="227">
        <v>3000</v>
      </c>
      <c r="D165" s="227">
        <v>2827.53</v>
      </c>
      <c r="E165" s="227">
        <f t="shared" si="6"/>
        <v>172.4699999999998</v>
      </c>
      <c r="F165" s="229">
        <f t="shared" si="7"/>
        <v>6.099670030026199E-2</v>
      </c>
      <c r="H165" s="227">
        <v>2827.53</v>
      </c>
    </row>
    <row r="166" spans="1:11" x14ac:dyDescent="0.3">
      <c r="A166" s="22" t="s">
        <v>215</v>
      </c>
      <c r="B166" s="22" t="s">
        <v>849</v>
      </c>
      <c r="C166" s="227">
        <v>10000</v>
      </c>
      <c r="D166" s="227">
        <v>11088.93</v>
      </c>
      <c r="E166" s="227">
        <f t="shared" si="6"/>
        <v>-1088.9300000000003</v>
      </c>
      <c r="F166" s="229">
        <f t="shared" si="7"/>
        <v>-9.8199736133242815E-2</v>
      </c>
      <c r="H166" s="227">
        <v>11088.93</v>
      </c>
      <c r="J166" s="22" t="s">
        <v>2122</v>
      </c>
    </row>
    <row r="167" spans="1:11" x14ac:dyDescent="0.3">
      <c r="A167" s="22" t="s">
        <v>5</v>
      </c>
      <c r="C167" s="227">
        <v>24500</v>
      </c>
      <c r="D167" s="227">
        <v>25128.46</v>
      </c>
      <c r="E167" s="227">
        <f t="shared" si="6"/>
        <v>-628.45999999999913</v>
      </c>
      <c r="F167" s="229">
        <f t="shared" si="7"/>
        <v>-2.5009889185409657E-2</v>
      </c>
      <c r="G167" s="227">
        <v>11000</v>
      </c>
      <c r="H167" s="227">
        <v>14128.460000000001</v>
      </c>
    </row>
    <row r="168" spans="1:11" x14ac:dyDescent="0.3">
      <c r="D168" s="227">
        <v>0</v>
      </c>
      <c r="E168" s="227">
        <f t="shared" si="6"/>
        <v>0</v>
      </c>
      <c r="F168" s="229" t="e">
        <f t="shared" si="7"/>
        <v>#DIV/0!</v>
      </c>
    </row>
    <row r="169" spans="1:11" x14ac:dyDescent="0.3">
      <c r="A169" s="22" t="s">
        <v>216</v>
      </c>
      <c r="B169" s="22" t="s">
        <v>1869</v>
      </c>
      <c r="C169" s="227">
        <v>24500</v>
      </c>
      <c r="D169" s="227">
        <v>25128.46</v>
      </c>
      <c r="E169" s="227">
        <f t="shared" si="6"/>
        <v>-628.45999999999913</v>
      </c>
      <c r="F169" s="229">
        <f t="shared" si="7"/>
        <v>-2.5009889185409657E-2</v>
      </c>
      <c r="G169" s="227">
        <v>11000</v>
      </c>
      <c r="H169" s="227">
        <v>14128.460000000001</v>
      </c>
    </row>
    <row r="170" spans="1:11" x14ac:dyDescent="0.3">
      <c r="D170" s="227">
        <v>0</v>
      </c>
      <c r="E170" s="227">
        <f t="shared" si="6"/>
        <v>0</v>
      </c>
      <c r="F170" s="229" t="e">
        <f t="shared" si="7"/>
        <v>#DIV/0!</v>
      </c>
    </row>
    <row r="171" spans="1:11" x14ac:dyDescent="0.3">
      <c r="A171" s="22" t="s">
        <v>217</v>
      </c>
      <c r="B171" s="22" t="s">
        <v>1365</v>
      </c>
      <c r="C171" s="227">
        <v>0</v>
      </c>
      <c r="D171" s="227">
        <v>0</v>
      </c>
      <c r="E171" s="227">
        <f t="shared" si="6"/>
        <v>0</v>
      </c>
      <c r="F171" s="229" t="e">
        <f t="shared" si="7"/>
        <v>#DIV/0!</v>
      </c>
      <c r="G171" s="227">
        <v>0</v>
      </c>
      <c r="H171" s="227">
        <v>0</v>
      </c>
    </row>
    <row r="172" spans="1:11" x14ac:dyDescent="0.3">
      <c r="A172" s="22" t="s">
        <v>5</v>
      </c>
      <c r="C172" s="227">
        <v>0</v>
      </c>
      <c r="D172" s="227">
        <v>0</v>
      </c>
      <c r="E172" s="227">
        <f t="shared" si="6"/>
        <v>0</v>
      </c>
      <c r="F172" s="229" t="e">
        <f t="shared" si="7"/>
        <v>#DIV/0!</v>
      </c>
      <c r="G172" s="227">
        <v>0</v>
      </c>
      <c r="H172" s="227">
        <v>0</v>
      </c>
    </row>
    <row r="173" spans="1:11" x14ac:dyDescent="0.3">
      <c r="D173" s="227">
        <v>0</v>
      </c>
      <c r="E173" s="227">
        <f t="shared" si="6"/>
        <v>0</v>
      </c>
      <c r="F173" s="229" t="e">
        <f t="shared" si="7"/>
        <v>#DIV/0!</v>
      </c>
    </row>
    <row r="174" spans="1:11" x14ac:dyDescent="0.3">
      <c r="A174" s="22" t="s">
        <v>218</v>
      </c>
      <c r="B174" s="22" t="s">
        <v>1867</v>
      </c>
      <c r="C174" s="227">
        <v>0</v>
      </c>
      <c r="D174" s="227">
        <v>0</v>
      </c>
      <c r="E174" s="227">
        <f t="shared" si="6"/>
        <v>0</v>
      </c>
      <c r="F174" s="229" t="e">
        <f t="shared" si="7"/>
        <v>#DIV/0!</v>
      </c>
      <c r="G174" s="227">
        <v>0</v>
      </c>
      <c r="H174" s="227">
        <v>0</v>
      </c>
    </row>
    <row r="175" spans="1:11" x14ac:dyDescent="0.3">
      <c r="D175" s="227">
        <v>0</v>
      </c>
      <c r="E175" s="227">
        <f t="shared" si="6"/>
        <v>0</v>
      </c>
      <c r="F175" s="229" t="e">
        <f t="shared" si="7"/>
        <v>#DIV/0!</v>
      </c>
    </row>
    <row r="176" spans="1:11" x14ac:dyDescent="0.3">
      <c r="A176" s="22" t="s">
        <v>219</v>
      </c>
      <c r="B176" s="22" t="s">
        <v>857</v>
      </c>
      <c r="C176" s="227">
        <v>12750</v>
      </c>
      <c r="D176" s="227">
        <v>12144</v>
      </c>
      <c r="E176" s="227">
        <f t="shared" si="6"/>
        <v>606</v>
      </c>
      <c r="F176" s="229">
        <f t="shared" si="7"/>
        <v>4.9901185770750991E-2</v>
      </c>
      <c r="G176" s="227">
        <v>1012</v>
      </c>
      <c r="H176" s="227">
        <v>11132</v>
      </c>
      <c r="J176" s="22">
        <v>12144</v>
      </c>
      <c r="K176" s="22">
        <v>1012</v>
      </c>
    </row>
    <row r="177" spans="1:8" x14ac:dyDescent="0.3">
      <c r="A177" s="22" t="s">
        <v>5</v>
      </c>
      <c r="C177" s="227">
        <v>12750</v>
      </c>
      <c r="D177" s="227">
        <v>12144</v>
      </c>
      <c r="E177" s="227">
        <f t="shared" si="6"/>
        <v>606</v>
      </c>
      <c r="F177" s="229">
        <f t="shared" si="7"/>
        <v>4.9901185770750991E-2</v>
      </c>
      <c r="G177" s="227">
        <v>1012</v>
      </c>
      <c r="H177" s="227">
        <v>11132</v>
      </c>
    </row>
    <row r="178" spans="1:8" x14ac:dyDescent="0.3">
      <c r="D178" s="227">
        <v>0</v>
      </c>
      <c r="E178" s="227">
        <f t="shared" si="6"/>
        <v>0</v>
      </c>
      <c r="F178" s="229" t="e">
        <f t="shared" si="7"/>
        <v>#DIV/0!</v>
      </c>
    </row>
    <row r="179" spans="1:8" x14ac:dyDescent="0.3">
      <c r="A179" s="22" t="s">
        <v>220</v>
      </c>
      <c r="B179" s="22" t="s">
        <v>1868</v>
      </c>
      <c r="C179" s="227">
        <v>12750</v>
      </c>
      <c r="D179" s="227">
        <v>12144</v>
      </c>
      <c r="E179" s="227">
        <f t="shared" si="6"/>
        <v>606</v>
      </c>
      <c r="F179" s="229">
        <f t="shared" si="7"/>
        <v>4.9901185770750991E-2</v>
      </c>
      <c r="G179" s="227">
        <v>1012</v>
      </c>
      <c r="H179" s="227">
        <v>11132</v>
      </c>
    </row>
    <row r="180" spans="1:8" x14ac:dyDescent="0.3">
      <c r="D180" s="227">
        <v>0</v>
      </c>
      <c r="E180" s="227">
        <f t="shared" si="6"/>
        <v>0</v>
      </c>
      <c r="F180" s="229" t="e">
        <f t="shared" si="7"/>
        <v>#DIV/0!</v>
      </c>
    </row>
    <row r="181" spans="1:8" x14ac:dyDescent="0.3">
      <c r="A181" s="22" t="s">
        <v>221</v>
      </c>
      <c r="B181" s="22" t="s">
        <v>859</v>
      </c>
      <c r="C181" s="227">
        <v>1500</v>
      </c>
      <c r="D181" s="227">
        <v>1490.6</v>
      </c>
      <c r="E181" s="227">
        <f t="shared" si="6"/>
        <v>9.4000000000000909</v>
      </c>
      <c r="F181" s="229">
        <f t="shared" si="7"/>
        <v>6.3061854286864966E-3</v>
      </c>
      <c r="G181" s="227">
        <v>0</v>
      </c>
      <c r="H181" s="227">
        <v>1490.6</v>
      </c>
    </row>
    <row r="182" spans="1:8" x14ac:dyDescent="0.3">
      <c r="A182" s="22" t="s">
        <v>222</v>
      </c>
      <c r="B182" s="22" t="s">
        <v>861</v>
      </c>
      <c r="C182" s="227">
        <v>2000</v>
      </c>
      <c r="D182" s="227">
        <v>1625</v>
      </c>
      <c r="E182" s="227">
        <f t="shared" si="6"/>
        <v>375</v>
      </c>
      <c r="F182" s="229">
        <f t="shared" si="7"/>
        <v>0.23076923076923078</v>
      </c>
      <c r="H182" s="227">
        <v>1625</v>
      </c>
    </row>
    <row r="183" spans="1:8" x14ac:dyDescent="0.3">
      <c r="A183" s="22" t="s">
        <v>5</v>
      </c>
      <c r="C183" s="227">
        <v>3500</v>
      </c>
      <c r="D183" s="227">
        <v>3115.6</v>
      </c>
      <c r="E183" s="227">
        <f t="shared" si="6"/>
        <v>384.40000000000009</v>
      </c>
      <c r="F183" s="229">
        <f t="shared" si="7"/>
        <v>0.12337912440621393</v>
      </c>
      <c r="G183" s="227">
        <v>0</v>
      </c>
      <c r="H183" s="227">
        <v>3115.6</v>
      </c>
    </row>
    <row r="184" spans="1:8" x14ac:dyDescent="0.3">
      <c r="D184" s="227">
        <v>0</v>
      </c>
      <c r="E184" s="227">
        <f t="shared" si="6"/>
        <v>0</v>
      </c>
      <c r="F184" s="229" t="e">
        <f t="shared" si="7"/>
        <v>#DIV/0!</v>
      </c>
      <c r="H184" s="227">
        <v>0</v>
      </c>
    </row>
    <row r="185" spans="1:8" x14ac:dyDescent="0.3">
      <c r="A185" s="22" t="s">
        <v>223</v>
      </c>
      <c r="B185" s="22" t="s">
        <v>1862</v>
      </c>
      <c r="C185" s="227">
        <v>3500</v>
      </c>
      <c r="D185" s="227">
        <v>3115.6</v>
      </c>
      <c r="E185" s="227">
        <f t="shared" si="6"/>
        <v>384.40000000000009</v>
      </c>
      <c r="F185" s="229">
        <f t="shared" si="7"/>
        <v>0.12337912440621393</v>
      </c>
      <c r="G185" s="227">
        <v>0</v>
      </c>
      <c r="H185" s="227">
        <v>3115.6</v>
      </c>
    </row>
    <row r="186" spans="1:8" x14ac:dyDescent="0.3">
      <c r="D186" s="227">
        <v>0</v>
      </c>
      <c r="E186" s="227">
        <f t="shared" si="6"/>
        <v>0</v>
      </c>
      <c r="F186" s="229" t="e">
        <f t="shared" si="7"/>
        <v>#DIV/0!</v>
      </c>
      <c r="H186" s="227">
        <v>0</v>
      </c>
    </row>
    <row r="187" spans="1:8" x14ac:dyDescent="0.3">
      <c r="A187" s="22" t="s">
        <v>224</v>
      </c>
      <c r="B187" s="22" t="s">
        <v>863</v>
      </c>
      <c r="C187" s="227">
        <v>1000</v>
      </c>
      <c r="D187" s="227">
        <v>438.08</v>
      </c>
      <c r="E187" s="227">
        <f t="shared" si="6"/>
        <v>561.92000000000007</v>
      </c>
      <c r="F187" s="229">
        <f t="shared" si="7"/>
        <v>1.2826880934989044</v>
      </c>
      <c r="H187" s="227">
        <v>438.08</v>
      </c>
    </row>
    <row r="188" spans="1:8" x14ac:dyDescent="0.3">
      <c r="A188" s="22" t="s">
        <v>225</v>
      </c>
      <c r="B188" s="22" t="s">
        <v>883</v>
      </c>
      <c r="C188" s="227">
        <v>0</v>
      </c>
      <c r="D188" s="227">
        <v>19.239999999999998</v>
      </c>
      <c r="E188" s="227">
        <f t="shared" si="6"/>
        <v>-19.239999999999998</v>
      </c>
      <c r="F188" s="229">
        <f t="shared" si="7"/>
        <v>-1</v>
      </c>
      <c r="H188" s="227">
        <v>19.239999999999998</v>
      </c>
    </row>
    <row r="189" spans="1:8" x14ac:dyDescent="0.3">
      <c r="A189" s="22" t="s">
        <v>5</v>
      </c>
      <c r="C189" s="227">
        <v>1000</v>
      </c>
      <c r="D189" s="227">
        <v>457.32</v>
      </c>
      <c r="E189" s="227">
        <f t="shared" si="6"/>
        <v>542.68000000000006</v>
      </c>
      <c r="F189" s="229">
        <f t="shared" si="7"/>
        <v>1.1866526720895654</v>
      </c>
      <c r="G189" s="227">
        <v>0</v>
      </c>
      <c r="H189" s="227">
        <v>457.32</v>
      </c>
    </row>
    <row r="190" spans="1:8" x14ac:dyDescent="0.3">
      <c r="D190" s="227">
        <v>0</v>
      </c>
      <c r="E190" s="227">
        <f t="shared" si="6"/>
        <v>0</v>
      </c>
      <c r="F190" s="229" t="e">
        <f t="shared" si="7"/>
        <v>#DIV/0!</v>
      </c>
    </row>
    <row r="191" spans="1:8" x14ac:dyDescent="0.3">
      <c r="A191" s="22" t="s">
        <v>226</v>
      </c>
      <c r="B191" s="22" t="s">
        <v>1865</v>
      </c>
      <c r="C191" s="227">
        <v>1000</v>
      </c>
      <c r="D191" s="227">
        <v>457.32</v>
      </c>
      <c r="E191" s="227">
        <f t="shared" si="6"/>
        <v>542.68000000000006</v>
      </c>
      <c r="F191" s="229">
        <f t="shared" si="7"/>
        <v>1.1866526720895654</v>
      </c>
      <c r="G191" s="227">
        <v>0</v>
      </c>
      <c r="H191" s="227">
        <v>457.32</v>
      </c>
    </row>
    <row r="192" spans="1:8" x14ac:dyDescent="0.3">
      <c r="D192" s="227">
        <v>0</v>
      </c>
      <c r="E192" s="227">
        <f t="shared" si="6"/>
        <v>0</v>
      </c>
      <c r="F192" s="229" t="e">
        <f t="shared" si="7"/>
        <v>#DIV/0!</v>
      </c>
    </row>
    <row r="193" spans="1:11" x14ac:dyDescent="0.3">
      <c r="A193" s="22" t="s">
        <v>227</v>
      </c>
      <c r="B193" s="22" t="s">
        <v>830</v>
      </c>
      <c r="C193" s="227">
        <v>3000</v>
      </c>
      <c r="D193" s="227">
        <v>2586.4499999999998</v>
      </c>
      <c r="E193" s="227">
        <f t="shared" si="6"/>
        <v>413.55000000000018</v>
      </c>
      <c r="F193" s="229">
        <f t="shared" si="7"/>
        <v>0.1598909702487967</v>
      </c>
      <c r="G193" s="227">
        <v>205</v>
      </c>
      <c r="H193" s="227">
        <v>2381.4499999999998</v>
      </c>
    </row>
    <row r="194" spans="1:11" x14ac:dyDescent="0.3">
      <c r="A194" s="22" t="s">
        <v>228</v>
      </c>
      <c r="B194" s="22" t="s">
        <v>832</v>
      </c>
      <c r="C194" s="227">
        <v>3000</v>
      </c>
      <c r="D194" s="227">
        <v>2991.54</v>
      </c>
      <c r="E194" s="227">
        <f t="shared" si="6"/>
        <v>8.4600000000000364</v>
      </c>
      <c r="F194" s="229">
        <f t="shared" si="7"/>
        <v>2.8279748891875209E-3</v>
      </c>
      <c r="G194" s="227">
        <v>284</v>
      </c>
      <c r="H194" s="227">
        <v>2707.54</v>
      </c>
    </row>
    <row r="195" spans="1:11" x14ac:dyDescent="0.3">
      <c r="A195" s="22" t="s">
        <v>5</v>
      </c>
      <c r="C195" s="227">
        <v>6000</v>
      </c>
      <c r="D195" s="227">
        <v>5577.99</v>
      </c>
      <c r="E195" s="227">
        <f t="shared" si="6"/>
        <v>422.01000000000022</v>
      </c>
      <c r="F195" s="229">
        <f t="shared" si="7"/>
        <v>7.5656284790758005E-2</v>
      </c>
      <c r="G195" s="227">
        <v>489</v>
      </c>
      <c r="H195" s="227">
        <v>5088.99</v>
      </c>
    </row>
    <row r="196" spans="1:11" x14ac:dyDescent="0.3">
      <c r="D196" s="227">
        <v>0</v>
      </c>
      <c r="E196" s="227">
        <f t="shared" si="6"/>
        <v>0</v>
      </c>
      <c r="F196" s="229" t="e">
        <f t="shared" si="7"/>
        <v>#DIV/0!</v>
      </c>
      <c r="H196" s="227">
        <v>0</v>
      </c>
    </row>
    <row r="197" spans="1:11" x14ac:dyDescent="0.3">
      <c r="A197" s="22" t="s">
        <v>229</v>
      </c>
      <c r="B197" s="22" t="s">
        <v>1871</v>
      </c>
      <c r="C197" s="227">
        <v>6000</v>
      </c>
      <c r="D197" s="227">
        <v>5577.99</v>
      </c>
      <c r="E197" s="227">
        <f t="shared" si="6"/>
        <v>422.01000000000022</v>
      </c>
      <c r="F197" s="229">
        <f t="shared" si="7"/>
        <v>7.5656284790758005E-2</v>
      </c>
      <c r="G197" s="227">
        <v>489</v>
      </c>
      <c r="H197" s="227">
        <v>5088.99</v>
      </c>
    </row>
    <row r="198" spans="1:11" x14ac:dyDescent="0.3">
      <c r="D198" s="227">
        <v>0</v>
      </c>
      <c r="E198" s="227">
        <f t="shared" si="6"/>
        <v>0</v>
      </c>
      <c r="F198" s="229" t="e">
        <f t="shared" si="7"/>
        <v>#DIV/0!</v>
      </c>
    </row>
    <row r="199" spans="1:11" x14ac:dyDescent="0.3">
      <c r="A199" s="22" t="s">
        <v>230</v>
      </c>
      <c r="B199" s="22" t="s">
        <v>851</v>
      </c>
      <c r="C199" s="227">
        <v>5250</v>
      </c>
      <c r="D199" s="227">
        <v>5250.74</v>
      </c>
      <c r="E199" s="227">
        <f t="shared" si="6"/>
        <v>-0.73999999999978172</v>
      </c>
      <c r="F199" s="229">
        <f t="shared" si="7"/>
        <v>-1.4093251617863038E-4</v>
      </c>
      <c r="G199" s="227">
        <v>1490</v>
      </c>
      <c r="H199" s="227">
        <v>3760.74</v>
      </c>
      <c r="J199" s="22">
        <v>1489.2600000000002</v>
      </c>
    </row>
    <row r="200" spans="1:11" x14ac:dyDescent="0.3">
      <c r="A200" s="22" t="s">
        <v>5</v>
      </c>
      <c r="C200" s="227">
        <v>5250</v>
      </c>
      <c r="D200" s="227">
        <v>5250.74</v>
      </c>
      <c r="E200" s="227">
        <f t="shared" ref="E200:E263" si="8">C200-D200</f>
        <v>-0.73999999999978172</v>
      </c>
      <c r="F200" s="229">
        <f t="shared" ref="F200:F263" si="9">E200/D200</f>
        <v>-1.4093251617863038E-4</v>
      </c>
      <c r="G200" s="227">
        <v>1490</v>
      </c>
      <c r="H200" s="227">
        <v>3760.74</v>
      </c>
    </row>
    <row r="201" spans="1:11" x14ac:dyDescent="0.3">
      <c r="D201" s="227">
        <v>0</v>
      </c>
      <c r="E201" s="227">
        <f t="shared" si="8"/>
        <v>0</v>
      </c>
      <c r="F201" s="229" t="e">
        <f t="shared" si="9"/>
        <v>#DIV/0!</v>
      </c>
    </row>
    <row r="202" spans="1:11" x14ac:dyDescent="0.3">
      <c r="A202" s="22" t="s">
        <v>231</v>
      </c>
      <c r="B202" s="22" t="s">
        <v>1872</v>
      </c>
      <c r="C202" s="227">
        <v>5250</v>
      </c>
      <c r="D202" s="227">
        <v>5250.74</v>
      </c>
      <c r="E202" s="227">
        <f t="shared" si="8"/>
        <v>-0.73999999999978172</v>
      </c>
      <c r="F202" s="229">
        <f t="shared" si="9"/>
        <v>-1.4093251617863038E-4</v>
      </c>
      <c r="G202" s="227">
        <v>1490</v>
      </c>
      <c r="H202" s="227">
        <v>3760.74</v>
      </c>
    </row>
    <row r="203" spans="1:11" x14ac:dyDescent="0.3">
      <c r="D203" s="227">
        <v>0</v>
      </c>
      <c r="E203" s="227">
        <f t="shared" si="8"/>
        <v>0</v>
      </c>
      <c r="F203" s="229" t="e">
        <f t="shared" si="9"/>
        <v>#DIV/0!</v>
      </c>
    </row>
    <row r="204" spans="1:11" x14ac:dyDescent="0.3">
      <c r="A204" s="22" t="s">
        <v>232</v>
      </c>
      <c r="B204" s="22" t="s">
        <v>866</v>
      </c>
      <c r="C204" s="227">
        <v>4866</v>
      </c>
      <c r="D204" s="227">
        <v>4054.88</v>
      </c>
      <c r="E204" s="227">
        <f t="shared" si="8"/>
        <v>811.11999999999989</v>
      </c>
      <c r="F204" s="229">
        <f t="shared" si="9"/>
        <v>0.200035512764866</v>
      </c>
      <c r="G204" s="227">
        <v>1311</v>
      </c>
      <c r="H204" s="227">
        <v>2743.88</v>
      </c>
      <c r="J204" s="22">
        <v>4055</v>
      </c>
      <c r="K204" s="22">
        <v>1311.12</v>
      </c>
    </row>
    <row r="205" spans="1:11" x14ac:dyDescent="0.3">
      <c r="A205" s="22" t="s">
        <v>233</v>
      </c>
      <c r="B205" s="22" t="s">
        <v>1357</v>
      </c>
      <c r="D205" s="227">
        <v>0</v>
      </c>
      <c r="E205" s="227">
        <f t="shared" si="8"/>
        <v>0</v>
      </c>
      <c r="F205" s="229" t="e">
        <f t="shared" si="9"/>
        <v>#DIV/0!</v>
      </c>
    </row>
    <row r="206" spans="1:11" x14ac:dyDescent="0.3">
      <c r="A206" s="22" t="s">
        <v>5</v>
      </c>
      <c r="C206" s="227">
        <v>4866</v>
      </c>
      <c r="D206" s="227">
        <v>4054.88</v>
      </c>
      <c r="E206" s="227">
        <f t="shared" si="8"/>
        <v>811.11999999999989</v>
      </c>
      <c r="F206" s="229">
        <f t="shared" si="9"/>
        <v>0.200035512764866</v>
      </c>
      <c r="G206" s="227">
        <v>1311</v>
      </c>
      <c r="H206" s="227">
        <v>2743.88</v>
      </c>
    </row>
    <row r="207" spans="1:11" x14ac:dyDescent="0.3">
      <c r="D207" s="227">
        <v>0</v>
      </c>
      <c r="E207" s="227">
        <f t="shared" si="8"/>
        <v>0</v>
      </c>
      <c r="F207" s="229" t="e">
        <f t="shared" si="9"/>
        <v>#DIV/0!</v>
      </c>
    </row>
    <row r="208" spans="1:11" x14ac:dyDescent="0.3">
      <c r="A208" s="22" t="s">
        <v>234</v>
      </c>
      <c r="B208" s="22" t="s">
        <v>1873</v>
      </c>
      <c r="C208" s="227">
        <v>4866</v>
      </c>
      <c r="D208" s="227">
        <v>4054.88</v>
      </c>
      <c r="E208" s="227">
        <f t="shared" si="8"/>
        <v>811.11999999999989</v>
      </c>
      <c r="F208" s="229">
        <f t="shared" si="9"/>
        <v>0.200035512764866</v>
      </c>
      <c r="G208" s="227">
        <v>1311</v>
      </c>
      <c r="H208" s="227">
        <v>2743.88</v>
      </c>
    </row>
    <row r="209" spans="1:8" x14ac:dyDescent="0.3">
      <c r="D209" s="227">
        <v>0</v>
      </c>
      <c r="E209" s="227">
        <f t="shared" si="8"/>
        <v>0</v>
      </c>
      <c r="F209" s="229" t="e">
        <f t="shared" si="9"/>
        <v>#DIV/0!</v>
      </c>
    </row>
    <row r="210" spans="1:8" x14ac:dyDescent="0.3">
      <c r="A210" s="22" t="s">
        <v>235</v>
      </c>
      <c r="B210" s="22" t="s">
        <v>842</v>
      </c>
      <c r="C210" s="227">
        <v>1100</v>
      </c>
      <c r="D210" s="227">
        <v>1058.02</v>
      </c>
      <c r="E210" s="227">
        <f t="shared" si="8"/>
        <v>41.980000000000018</v>
      </c>
      <c r="F210" s="229">
        <f t="shared" si="9"/>
        <v>3.9677888886788547E-2</v>
      </c>
      <c r="G210" s="227">
        <v>85</v>
      </c>
      <c r="H210" s="227">
        <v>973.02</v>
      </c>
    </row>
    <row r="211" spans="1:8" x14ac:dyDescent="0.3">
      <c r="A211" s="22" t="s">
        <v>5</v>
      </c>
      <c r="C211" s="227">
        <v>1100</v>
      </c>
      <c r="D211" s="227">
        <v>1058.02</v>
      </c>
      <c r="E211" s="227">
        <f t="shared" si="8"/>
        <v>41.980000000000018</v>
      </c>
      <c r="F211" s="229">
        <f t="shared" si="9"/>
        <v>3.9677888886788547E-2</v>
      </c>
      <c r="G211" s="227">
        <v>85</v>
      </c>
      <c r="H211" s="227">
        <v>973.02</v>
      </c>
    </row>
    <row r="212" spans="1:8" x14ac:dyDescent="0.3">
      <c r="D212" s="227">
        <v>0</v>
      </c>
      <c r="E212" s="227">
        <f t="shared" si="8"/>
        <v>0</v>
      </c>
      <c r="F212" s="229" t="e">
        <f t="shared" si="9"/>
        <v>#DIV/0!</v>
      </c>
    </row>
    <row r="213" spans="1:8" x14ac:dyDescent="0.3">
      <c r="A213" s="22" t="s">
        <v>236</v>
      </c>
      <c r="B213" s="22" t="s">
        <v>1874</v>
      </c>
      <c r="C213" s="227">
        <v>1100</v>
      </c>
      <c r="D213" s="227">
        <v>1058.02</v>
      </c>
      <c r="E213" s="227">
        <f t="shared" si="8"/>
        <v>41.980000000000018</v>
      </c>
      <c r="F213" s="229">
        <f t="shared" si="9"/>
        <v>3.9677888886788547E-2</v>
      </c>
      <c r="G213" s="227">
        <v>85</v>
      </c>
      <c r="H213" s="227">
        <v>973.02</v>
      </c>
    </row>
    <row r="214" spans="1:8" x14ac:dyDescent="0.3">
      <c r="D214" s="227">
        <v>0</v>
      </c>
      <c r="E214" s="227">
        <f t="shared" si="8"/>
        <v>0</v>
      </c>
      <c r="F214" s="229" t="e">
        <f t="shared" si="9"/>
        <v>#DIV/0!</v>
      </c>
    </row>
    <row r="215" spans="1:8" x14ac:dyDescent="0.3">
      <c r="A215" s="22" t="s">
        <v>237</v>
      </c>
      <c r="B215" s="22" t="s">
        <v>775</v>
      </c>
      <c r="C215" s="227">
        <v>300</v>
      </c>
      <c r="D215" s="227">
        <v>32.619999999999997</v>
      </c>
      <c r="E215" s="227">
        <f t="shared" si="8"/>
        <v>267.38</v>
      </c>
      <c r="F215" s="229">
        <f t="shared" si="9"/>
        <v>8.1968117719190694</v>
      </c>
      <c r="H215" s="227">
        <v>32.619999999999997</v>
      </c>
    </row>
    <row r="216" spans="1:8" x14ac:dyDescent="0.3">
      <c r="A216" s="22" t="s">
        <v>238</v>
      </c>
      <c r="B216" s="22" t="s">
        <v>836</v>
      </c>
      <c r="C216" s="227">
        <v>6500</v>
      </c>
      <c r="D216" s="227">
        <v>6147.23</v>
      </c>
      <c r="E216" s="227">
        <f t="shared" si="8"/>
        <v>352.77000000000044</v>
      </c>
      <c r="F216" s="229">
        <f t="shared" si="9"/>
        <v>5.7386823008086646E-2</v>
      </c>
      <c r="H216" s="227">
        <v>6147.23</v>
      </c>
    </row>
    <row r="217" spans="1:8" x14ac:dyDescent="0.3">
      <c r="A217" s="22" t="s">
        <v>239</v>
      </c>
      <c r="B217" s="22" t="s">
        <v>868</v>
      </c>
      <c r="C217" s="227">
        <v>5500</v>
      </c>
      <c r="D217" s="227">
        <v>5550.17</v>
      </c>
      <c r="E217" s="227">
        <f t="shared" si="8"/>
        <v>-50.170000000000073</v>
      </c>
      <c r="F217" s="229">
        <f t="shared" si="9"/>
        <v>-9.0393627582578684E-3</v>
      </c>
      <c r="G217" s="227">
        <v>200</v>
      </c>
      <c r="H217" s="227">
        <v>5350.17</v>
      </c>
    </row>
    <row r="218" spans="1:8" x14ac:dyDescent="0.3">
      <c r="A218" s="22" t="s">
        <v>240</v>
      </c>
      <c r="B218" s="22" t="s">
        <v>870</v>
      </c>
      <c r="C218" s="227">
        <v>3500</v>
      </c>
      <c r="D218" s="227">
        <v>3558.91</v>
      </c>
      <c r="E218" s="227">
        <f t="shared" si="8"/>
        <v>-58.909999999999854</v>
      </c>
      <c r="F218" s="229">
        <f t="shared" si="9"/>
        <v>-1.6552820947986845E-2</v>
      </c>
      <c r="G218" s="227">
        <v>400</v>
      </c>
      <c r="H218" s="227">
        <v>3158.91</v>
      </c>
    </row>
    <row r="219" spans="1:8" x14ac:dyDescent="0.3">
      <c r="A219" s="22" t="s">
        <v>241</v>
      </c>
      <c r="B219" s="22" t="s">
        <v>1121</v>
      </c>
      <c r="D219" s="227">
        <v>303.60000000000002</v>
      </c>
      <c r="E219" s="227">
        <f t="shared" si="8"/>
        <v>-303.60000000000002</v>
      </c>
      <c r="F219" s="229">
        <f t="shared" si="9"/>
        <v>-1</v>
      </c>
      <c r="H219" s="227">
        <v>303.60000000000002</v>
      </c>
    </row>
    <row r="220" spans="1:8" x14ac:dyDescent="0.3">
      <c r="A220" s="22" t="s">
        <v>242</v>
      </c>
      <c r="B220" s="22" t="s">
        <v>872</v>
      </c>
      <c r="C220" s="227">
        <v>3000</v>
      </c>
      <c r="D220" s="227">
        <v>2723.57</v>
      </c>
      <c r="E220" s="227">
        <f t="shared" si="8"/>
        <v>276.42999999999984</v>
      </c>
      <c r="F220" s="229">
        <f t="shared" si="9"/>
        <v>0.10149546367451537</v>
      </c>
      <c r="H220" s="227">
        <v>2723.57</v>
      </c>
    </row>
    <row r="221" spans="1:8" x14ac:dyDescent="0.3">
      <c r="A221" s="22" t="s">
        <v>5</v>
      </c>
      <c r="C221" s="227">
        <v>18800</v>
      </c>
      <c r="D221" s="227">
        <v>18316.100000000002</v>
      </c>
      <c r="E221" s="227">
        <f t="shared" si="8"/>
        <v>483.89999999999782</v>
      </c>
      <c r="F221" s="229">
        <f t="shared" si="9"/>
        <v>2.6419379671436483E-2</v>
      </c>
      <c r="G221" s="227">
        <v>600</v>
      </c>
      <c r="H221" s="227">
        <v>17716.100000000002</v>
      </c>
    </row>
    <row r="222" spans="1:8" x14ac:dyDescent="0.3">
      <c r="D222" s="227">
        <v>0</v>
      </c>
      <c r="E222" s="227">
        <f t="shared" si="8"/>
        <v>0</v>
      </c>
      <c r="F222" s="229" t="e">
        <f t="shared" si="9"/>
        <v>#DIV/0!</v>
      </c>
    </row>
    <row r="223" spans="1:8" x14ac:dyDescent="0.3">
      <c r="A223" s="22" t="s">
        <v>243</v>
      </c>
      <c r="B223" s="22" t="s">
        <v>1875</v>
      </c>
      <c r="C223" s="227">
        <v>18800</v>
      </c>
      <c r="D223" s="227">
        <v>18316.100000000002</v>
      </c>
      <c r="E223" s="227">
        <f t="shared" si="8"/>
        <v>483.89999999999782</v>
      </c>
      <c r="F223" s="229">
        <f t="shared" si="9"/>
        <v>2.6419379671436483E-2</v>
      </c>
      <c r="G223" s="227">
        <v>600</v>
      </c>
      <c r="H223" s="227">
        <v>17716.100000000002</v>
      </c>
    </row>
    <row r="224" spans="1:8" x14ac:dyDescent="0.3">
      <c r="D224" s="227">
        <v>0</v>
      </c>
      <c r="E224" s="227">
        <f t="shared" si="8"/>
        <v>0</v>
      </c>
      <c r="F224" s="229" t="e">
        <f t="shared" si="9"/>
        <v>#DIV/0!</v>
      </c>
    </row>
    <row r="225" spans="1:10" x14ac:dyDescent="0.3">
      <c r="A225" s="22" t="s">
        <v>244</v>
      </c>
      <c r="B225" s="22" t="s">
        <v>878</v>
      </c>
      <c r="C225" s="227">
        <v>2500</v>
      </c>
      <c r="D225" s="227">
        <v>2405.9899999999998</v>
      </c>
      <c r="E225" s="227">
        <f t="shared" si="8"/>
        <v>94.010000000000218</v>
      </c>
      <c r="F225" s="229">
        <f t="shared" si="9"/>
        <v>3.9073312856662011E-2</v>
      </c>
      <c r="H225" s="227">
        <v>2405.9899999999998</v>
      </c>
    </row>
    <row r="226" spans="1:10" x14ac:dyDescent="0.3">
      <c r="A226" s="22" t="s">
        <v>5</v>
      </c>
      <c r="C226" s="227">
        <v>2500</v>
      </c>
      <c r="D226" s="227">
        <v>2405.9899999999998</v>
      </c>
      <c r="E226" s="227">
        <f t="shared" si="8"/>
        <v>94.010000000000218</v>
      </c>
      <c r="F226" s="229">
        <f t="shared" si="9"/>
        <v>3.9073312856662011E-2</v>
      </c>
      <c r="G226" s="227">
        <v>0</v>
      </c>
      <c r="H226" s="227">
        <v>2405.9899999999998</v>
      </c>
    </row>
    <row r="227" spans="1:10" x14ac:dyDescent="0.3">
      <c r="D227" s="227">
        <v>0</v>
      </c>
      <c r="E227" s="227">
        <f t="shared" si="8"/>
        <v>0</v>
      </c>
      <c r="F227" s="229" t="e">
        <f t="shared" si="9"/>
        <v>#DIV/0!</v>
      </c>
    </row>
    <row r="228" spans="1:10" x14ac:dyDescent="0.3">
      <c r="A228" s="22" t="s">
        <v>245</v>
      </c>
      <c r="B228" s="22" t="s">
        <v>1876</v>
      </c>
      <c r="C228" s="227">
        <v>2500</v>
      </c>
      <c r="D228" s="227">
        <v>2405.9899999999998</v>
      </c>
      <c r="E228" s="227">
        <f t="shared" si="8"/>
        <v>94.010000000000218</v>
      </c>
      <c r="F228" s="229">
        <f t="shared" si="9"/>
        <v>3.9073312856662011E-2</v>
      </c>
      <c r="G228" s="227">
        <v>0</v>
      </c>
      <c r="H228" s="227">
        <v>2405.9899999999998</v>
      </c>
    </row>
    <row r="229" spans="1:10" x14ac:dyDescent="0.3">
      <c r="D229" s="227">
        <v>0</v>
      </c>
      <c r="E229" s="227">
        <f t="shared" si="8"/>
        <v>0</v>
      </c>
      <c r="F229" s="229" t="e">
        <f t="shared" si="9"/>
        <v>#DIV/0!</v>
      </c>
    </row>
    <row r="230" spans="1:10" x14ac:dyDescent="0.3">
      <c r="A230" s="22" t="s">
        <v>246</v>
      </c>
      <c r="B230" s="22" t="s">
        <v>879</v>
      </c>
      <c r="C230" s="227">
        <v>1000</v>
      </c>
      <c r="D230" s="227">
        <v>1043.1199999999999</v>
      </c>
      <c r="E230" s="227">
        <f t="shared" si="8"/>
        <v>-43.119999999999891</v>
      </c>
      <c r="F230" s="229">
        <f t="shared" si="9"/>
        <v>-4.13375258838867E-2</v>
      </c>
      <c r="G230" s="227">
        <v>600</v>
      </c>
      <c r="H230" s="227">
        <v>443.12</v>
      </c>
      <c r="J230" s="22" t="s">
        <v>2224</v>
      </c>
    </row>
    <row r="231" spans="1:10" x14ac:dyDescent="0.3">
      <c r="A231" s="22" t="s">
        <v>5</v>
      </c>
      <c r="C231" s="227">
        <v>1000</v>
      </c>
      <c r="D231" s="227">
        <v>1043.1199999999999</v>
      </c>
      <c r="E231" s="227">
        <f t="shared" si="8"/>
        <v>-43.119999999999891</v>
      </c>
      <c r="F231" s="229">
        <f t="shared" si="9"/>
        <v>-4.13375258838867E-2</v>
      </c>
      <c r="G231" s="227">
        <v>600</v>
      </c>
      <c r="H231" s="227">
        <v>443.12</v>
      </c>
    </row>
    <row r="232" spans="1:10" x14ac:dyDescent="0.3">
      <c r="D232" s="227">
        <v>0</v>
      </c>
      <c r="E232" s="227">
        <f t="shared" si="8"/>
        <v>0</v>
      </c>
      <c r="F232" s="229" t="e">
        <f t="shared" si="9"/>
        <v>#DIV/0!</v>
      </c>
      <c r="H232" s="227">
        <v>0</v>
      </c>
    </row>
    <row r="233" spans="1:10" x14ac:dyDescent="0.3">
      <c r="A233" s="22" t="s">
        <v>247</v>
      </c>
      <c r="B233" s="22" t="s">
        <v>1864</v>
      </c>
      <c r="C233" s="227">
        <v>1000</v>
      </c>
      <c r="D233" s="227">
        <v>1043.1199999999999</v>
      </c>
      <c r="E233" s="227">
        <f t="shared" si="8"/>
        <v>-43.119999999999891</v>
      </c>
      <c r="F233" s="229">
        <f t="shared" si="9"/>
        <v>-4.13375258838867E-2</v>
      </c>
      <c r="G233" s="227">
        <v>600</v>
      </c>
      <c r="H233" s="227">
        <v>443.12</v>
      </c>
    </row>
    <row r="234" spans="1:10" x14ac:dyDescent="0.3">
      <c r="D234" s="227">
        <v>0</v>
      </c>
      <c r="E234" s="227">
        <f t="shared" si="8"/>
        <v>0</v>
      </c>
      <c r="F234" s="229" t="e">
        <f t="shared" si="9"/>
        <v>#DIV/0!</v>
      </c>
    </row>
    <row r="235" spans="1:10" x14ac:dyDescent="0.3">
      <c r="A235" s="22" t="s">
        <v>248</v>
      </c>
      <c r="B235" s="22" t="s">
        <v>874</v>
      </c>
      <c r="C235" s="227">
        <v>17500</v>
      </c>
      <c r="D235" s="227">
        <v>17280.16</v>
      </c>
      <c r="E235" s="227">
        <f t="shared" si="8"/>
        <v>219.84000000000015</v>
      </c>
      <c r="F235" s="229">
        <f t="shared" si="9"/>
        <v>1.2722104424959036E-2</v>
      </c>
      <c r="G235" s="227">
        <v>1500</v>
      </c>
      <c r="H235" s="227">
        <v>15780.16</v>
      </c>
    </row>
    <row r="236" spans="1:10" x14ac:dyDescent="0.3">
      <c r="A236" s="22" t="s">
        <v>5</v>
      </c>
      <c r="C236" s="227">
        <v>17500</v>
      </c>
      <c r="D236" s="227">
        <v>17280.16</v>
      </c>
      <c r="E236" s="227">
        <f t="shared" si="8"/>
        <v>219.84000000000015</v>
      </c>
      <c r="F236" s="229">
        <f t="shared" si="9"/>
        <v>1.2722104424959036E-2</v>
      </c>
      <c r="G236" s="227">
        <v>1500</v>
      </c>
      <c r="H236" s="227">
        <v>15780.16</v>
      </c>
    </row>
    <row r="237" spans="1:10" x14ac:dyDescent="0.3">
      <c r="D237" s="227">
        <v>0</v>
      </c>
      <c r="E237" s="227">
        <f t="shared" si="8"/>
        <v>0</v>
      </c>
      <c r="F237" s="229" t="e">
        <f t="shared" si="9"/>
        <v>#DIV/0!</v>
      </c>
    </row>
    <row r="238" spans="1:10" x14ac:dyDescent="0.3">
      <c r="A238" s="22" t="s">
        <v>249</v>
      </c>
      <c r="B238" s="22" t="s">
        <v>1877</v>
      </c>
      <c r="C238" s="227">
        <v>17500</v>
      </c>
      <c r="D238" s="227">
        <v>17280.16</v>
      </c>
      <c r="E238" s="227">
        <f t="shared" si="8"/>
        <v>219.84000000000015</v>
      </c>
      <c r="F238" s="229">
        <f t="shared" si="9"/>
        <v>1.2722104424959036E-2</v>
      </c>
      <c r="G238" s="227">
        <v>1500</v>
      </c>
      <c r="H238" s="227">
        <v>15780.16</v>
      </c>
    </row>
    <row r="239" spans="1:10" x14ac:dyDescent="0.3">
      <c r="D239" s="227">
        <v>0</v>
      </c>
      <c r="E239" s="227">
        <f t="shared" si="8"/>
        <v>0</v>
      </c>
      <c r="F239" s="229" t="e">
        <f t="shared" si="9"/>
        <v>#DIV/0!</v>
      </c>
    </row>
    <row r="240" spans="1:10" x14ac:dyDescent="0.3">
      <c r="A240" s="22" t="s">
        <v>250</v>
      </c>
      <c r="B240" s="22" t="s">
        <v>825</v>
      </c>
      <c r="C240" s="227">
        <v>25000</v>
      </c>
      <c r="D240" s="227">
        <v>24195.84</v>
      </c>
      <c r="E240" s="227">
        <f t="shared" si="8"/>
        <v>804.15999999999985</v>
      </c>
      <c r="F240" s="229">
        <f t="shared" si="9"/>
        <v>3.323546527006295E-2</v>
      </c>
      <c r="G240" s="227">
        <v>6000</v>
      </c>
      <c r="H240" s="227">
        <v>18195.84</v>
      </c>
    </row>
    <row r="241" spans="1:12" x14ac:dyDescent="0.3">
      <c r="A241" s="22" t="s">
        <v>5</v>
      </c>
      <c r="C241" s="227">
        <v>25000</v>
      </c>
      <c r="D241" s="227">
        <v>24195.84</v>
      </c>
      <c r="E241" s="227">
        <f t="shared" si="8"/>
        <v>804.15999999999985</v>
      </c>
      <c r="F241" s="229">
        <f t="shared" si="9"/>
        <v>3.323546527006295E-2</v>
      </c>
      <c r="G241" s="227">
        <v>6000</v>
      </c>
      <c r="H241" s="227">
        <v>18195.84</v>
      </c>
    </row>
    <row r="242" spans="1:12" x14ac:dyDescent="0.3">
      <c r="D242" s="227">
        <v>0</v>
      </c>
      <c r="E242" s="227">
        <f t="shared" si="8"/>
        <v>0</v>
      </c>
      <c r="F242" s="229" t="e">
        <f t="shared" si="9"/>
        <v>#DIV/0!</v>
      </c>
    </row>
    <row r="243" spans="1:12" x14ac:dyDescent="0.3">
      <c r="A243" s="22" t="s">
        <v>251</v>
      </c>
      <c r="B243" s="22" t="s">
        <v>1863</v>
      </c>
      <c r="C243" s="227">
        <v>25000</v>
      </c>
      <c r="D243" s="227">
        <v>24195.84</v>
      </c>
      <c r="E243" s="227">
        <f t="shared" si="8"/>
        <v>804.15999999999985</v>
      </c>
      <c r="F243" s="229">
        <f t="shared" si="9"/>
        <v>3.323546527006295E-2</v>
      </c>
      <c r="G243" s="227">
        <v>6000</v>
      </c>
      <c r="H243" s="227">
        <v>18195.84</v>
      </c>
    </row>
    <row r="244" spans="1:12" x14ac:dyDescent="0.3">
      <c r="D244" s="227">
        <v>0</v>
      </c>
      <c r="E244" s="227">
        <f t="shared" si="8"/>
        <v>0</v>
      </c>
      <c r="F244" s="229" t="e">
        <f t="shared" si="9"/>
        <v>#DIV/0!</v>
      </c>
    </row>
    <row r="245" spans="1:12" x14ac:dyDescent="0.3">
      <c r="A245" s="22" t="s">
        <v>252</v>
      </c>
      <c r="B245" s="22" t="s">
        <v>885</v>
      </c>
      <c r="C245" s="227">
        <v>-168934</v>
      </c>
      <c r="D245" s="227">
        <v>-158878</v>
      </c>
      <c r="E245" s="227">
        <f t="shared" si="8"/>
        <v>-10056</v>
      </c>
      <c r="F245" s="229">
        <f t="shared" si="9"/>
        <v>6.329384810987046E-2</v>
      </c>
      <c r="G245" s="227">
        <v>-158878</v>
      </c>
      <c r="H245" s="227">
        <v>0</v>
      </c>
      <c r="J245" s="22" t="s">
        <v>2119</v>
      </c>
      <c r="L245" s="22" t="s">
        <v>2287</v>
      </c>
    </row>
    <row r="246" spans="1:12" x14ac:dyDescent="0.3">
      <c r="A246" s="22" t="s">
        <v>5</v>
      </c>
      <c r="C246" s="227">
        <v>-168934</v>
      </c>
      <c r="D246" s="227">
        <v>-158878</v>
      </c>
      <c r="E246" s="227">
        <f t="shared" si="8"/>
        <v>-10056</v>
      </c>
      <c r="F246" s="229">
        <f t="shared" si="9"/>
        <v>6.329384810987046E-2</v>
      </c>
      <c r="G246" s="227">
        <v>-158878</v>
      </c>
      <c r="H246" s="227">
        <v>0</v>
      </c>
    </row>
    <row r="247" spans="1:12" x14ac:dyDescent="0.3">
      <c r="D247" s="227">
        <v>0</v>
      </c>
      <c r="E247" s="227">
        <f t="shared" si="8"/>
        <v>0</v>
      </c>
      <c r="F247" s="229" t="e">
        <f t="shared" si="9"/>
        <v>#DIV/0!</v>
      </c>
    </row>
    <row r="248" spans="1:12" x14ac:dyDescent="0.3">
      <c r="A248" s="22" t="s">
        <v>253</v>
      </c>
      <c r="B248" s="22" t="s">
        <v>1878</v>
      </c>
      <c r="C248" s="227">
        <v>-168934</v>
      </c>
      <c r="D248" s="227">
        <v>-158878</v>
      </c>
      <c r="E248" s="227">
        <f t="shared" si="8"/>
        <v>-10056</v>
      </c>
      <c r="F248" s="229">
        <f t="shared" si="9"/>
        <v>6.329384810987046E-2</v>
      </c>
      <c r="G248" s="227">
        <v>-158878</v>
      </c>
      <c r="H248" s="227">
        <v>0</v>
      </c>
    </row>
    <row r="249" spans="1:12" x14ac:dyDescent="0.3">
      <c r="D249" s="227">
        <v>0</v>
      </c>
      <c r="E249" s="227">
        <f t="shared" si="8"/>
        <v>0</v>
      </c>
      <c r="F249" s="229" t="e">
        <f t="shared" si="9"/>
        <v>#DIV/0!</v>
      </c>
    </row>
    <row r="250" spans="1:12" x14ac:dyDescent="0.3">
      <c r="A250" s="22" t="s">
        <v>254</v>
      </c>
      <c r="B250" s="22" t="s">
        <v>876</v>
      </c>
      <c r="C250" s="227">
        <v>8000</v>
      </c>
      <c r="D250" s="227">
        <v>6694.09</v>
      </c>
      <c r="E250" s="227">
        <f t="shared" si="8"/>
        <v>1305.9099999999999</v>
      </c>
      <c r="F250" s="229">
        <f t="shared" si="9"/>
        <v>0.19508402187601298</v>
      </c>
      <c r="G250" s="227">
        <v>0</v>
      </c>
      <c r="H250" s="227">
        <v>6694.09</v>
      </c>
    </row>
    <row r="251" spans="1:12" x14ac:dyDescent="0.3">
      <c r="A251" s="22" t="s">
        <v>5</v>
      </c>
      <c r="C251" s="227">
        <v>8000</v>
      </c>
      <c r="D251" s="227">
        <v>6694.09</v>
      </c>
      <c r="E251" s="227">
        <f t="shared" si="8"/>
        <v>1305.9099999999999</v>
      </c>
      <c r="F251" s="229">
        <f t="shared" si="9"/>
        <v>0.19508402187601298</v>
      </c>
      <c r="G251" s="227">
        <v>0</v>
      </c>
      <c r="H251" s="227">
        <v>6694.09</v>
      </c>
    </row>
    <row r="252" spans="1:12" x14ac:dyDescent="0.3">
      <c r="D252" s="227">
        <v>0</v>
      </c>
      <c r="E252" s="227">
        <f t="shared" si="8"/>
        <v>0</v>
      </c>
      <c r="F252" s="229" t="e">
        <f t="shared" si="9"/>
        <v>#DIV/0!</v>
      </c>
    </row>
    <row r="253" spans="1:12" x14ac:dyDescent="0.3">
      <c r="A253" s="22" t="s">
        <v>255</v>
      </c>
      <c r="B253" s="22" t="s">
        <v>1879</v>
      </c>
      <c r="C253" s="227">
        <v>8000</v>
      </c>
      <c r="D253" s="227">
        <v>6694.09</v>
      </c>
      <c r="E253" s="227">
        <f t="shared" si="8"/>
        <v>1305.9099999999999</v>
      </c>
      <c r="F253" s="229">
        <f t="shared" si="9"/>
        <v>0.19508402187601298</v>
      </c>
      <c r="G253" s="227">
        <v>0</v>
      </c>
      <c r="H253" s="227">
        <v>6694.09</v>
      </c>
    </row>
    <row r="254" spans="1:12" x14ac:dyDescent="0.3">
      <c r="D254" s="227">
        <v>0</v>
      </c>
      <c r="E254" s="227">
        <f t="shared" si="8"/>
        <v>0</v>
      </c>
      <c r="F254" s="229" t="e">
        <f t="shared" si="9"/>
        <v>#DIV/0!</v>
      </c>
    </row>
    <row r="255" spans="1:12" x14ac:dyDescent="0.3">
      <c r="A255" s="22" t="s">
        <v>256</v>
      </c>
      <c r="B255" s="22" t="s">
        <v>881</v>
      </c>
      <c r="C255" s="227">
        <v>0</v>
      </c>
      <c r="D255" s="227">
        <v>0</v>
      </c>
      <c r="E255" s="227">
        <f t="shared" si="8"/>
        <v>0</v>
      </c>
      <c r="F255" s="229" t="e">
        <f t="shared" si="9"/>
        <v>#DIV/0!</v>
      </c>
      <c r="G255" s="227">
        <v>0</v>
      </c>
      <c r="H255" s="227">
        <v>0</v>
      </c>
    </row>
    <row r="256" spans="1:12" x14ac:dyDescent="0.3">
      <c r="A256" s="22" t="s">
        <v>5</v>
      </c>
      <c r="C256" s="227">
        <v>0</v>
      </c>
      <c r="D256" s="227">
        <v>0</v>
      </c>
      <c r="E256" s="227">
        <f t="shared" si="8"/>
        <v>0</v>
      </c>
      <c r="F256" s="229" t="e">
        <f t="shared" si="9"/>
        <v>#DIV/0!</v>
      </c>
      <c r="G256" s="227">
        <v>0</v>
      </c>
      <c r="H256" s="227">
        <v>0</v>
      </c>
    </row>
    <row r="257" spans="1:13" x14ac:dyDescent="0.3">
      <c r="D257" s="227">
        <v>0</v>
      </c>
      <c r="E257" s="227">
        <f t="shared" si="8"/>
        <v>0</v>
      </c>
      <c r="F257" s="229" t="e">
        <f t="shared" si="9"/>
        <v>#DIV/0!</v>
      </c>
    </row>
    <row r="258" spans="1:13" x14ac:dyDescent="0.3">
      <c r="A258" s="22" t="s">
        <v>257</v>
      </c>
      <c r="B258" s="22" t="s">
        <v>1880</v>
      </c>
      <c r="C258" s="227">
        <v>0</v>
      </c>
      <c r="D258" s="227">
        <v>0</v>
      </c>
      <c r="E258" s="227">
        <f t="shared" si="8"/>
        <v>0</v>
      </c>
      <c r="F258" s="229" t="e">
        <f t="shared" si="9"/>
        <v>#DIV/0!</v>
      </c>
      <c r="G258" s="227">
        <v>0</v>
      </c>
      <c r="H258" s="227">
        <v>0</v>
      </c>
    </row>
    <row r="259" spans="1:13" x14ac:dyDescent="0.3">
      <c r="D259" s="227">
        <v>0</v>
      </c>
      <c r="E259" s="227">
        <f t="shared" si="8"/>
        <v>0</v>
      </c>
      <c r="F259" s="229" t="e">
        <f t="shared" si="9"/>
        <v>#DIV/0!</v>
      </c>
    </row>
    <row r="260" spans="1:13" x14ac:dyDescent="0.3">
      <c r="A260" s="22" t="s">
        <v>258</v>
      </c>
      <c r="B260" s="22" t="s">
        <v>777</v>
      </c>
      <c r="C260" s="227">
        <v>2500</v>
      </c>
      <c r="D260" s="227">
        <v>2143.94</v>
      </c>
      <c r="E260" s="227">
        <f t="shared" si="8"/>
        <v>356.05999999999995</v>
      </c>
      <c r="F260" s="229">
        <f t="shared" si="9"/>
        <v>0.16607740888271125</v>
      </c>
      <c r="G260" s="227">
        <v>0</v>
      </c>
      <c r="H260" s="227">
        <v>2143.94</v>
      </c>
    </row>
    <row r="261" spans="1:13" x14ac:dyDescent="0.3">
      <c r="A261" s="22" t="s">
        <v>259</v>
      </c>
      <c r="B261" s="22" t="s">
        <v>1310</v>
      </c>
      <c r="C261" s="227">
        <v>2000</v>
      </c>
      <c r="D261" s="227">
        <v>1168.83</v>
      </c>
      <c r="E261" s="227">
        <f t="shared" si="8"/>
        <v>831.17000000000007</v>
      </c>
      <c r="F261" s="229">
        <f t="shared" si="9"/>
        <v>0.71111282222393346</v>
      </c>
      <c r="G261" s="227">
        <v>0</v>
      </c>
      <c r="H261" s="227">
        <v>1168.83</v>
      </c>
    </row>
    <row r="262" spans="1:13" x14ac:dyDescent="0.3">
      <c r="A262" s="22" t="s">
        <v>5</v>
      </c>
      <c r="C262" s="227">
        <v>4500</v>
      </c>
      <c r="D262" s="227">
        <v>3312.77</v>
      </c>
      <c r="E262" s="227">
        <f t="shared" si="8"/>
        <v>1187.23</v>
      </c>
      <c r="F262" s="229">
        <f t="shared" si="9"/>
        <v>0.35837984526544253</v>
      </c>
      <c r="G262" s="227">
        <v>0</v>
      </c>
      <c r="H262" s="227">
        <v>3312.77</v>
      </c>
    </row>
    <row r="263" spans="1:13" x14ac:dyDescent="0.3">
      <c r="D263" s="227">
        <v>0</v>
      </c>
      <c r="E263" s="227">
        <f t="shared" si="8"/>
        <v>0</v>
      </c>
      <c r="F263" s="229" t="e">
        <f t="shared" si="9"/>
        <v>#DIV/0!</v>
      </c>
    </row>
    <row r="264" spans="1:13" x14ac:dyDescent="0.3">
      <c r="A264" s="22" t="s">
        <v>260</v>
      </c>
      <c r="B264" s="22" t="s">
        <v>1838</v>
      </c>
      <c r="C264" s="227">
        <v>4500</v>
      </c>
      <c r="D264" s="227">
        <v>3312.77</v>
      </c>
      <c r="E264" s="227">
        <f t="shared" ref="E264:E327" si="10">C264-D264</f>
        <v>1187.23</v>
      </c>
      <c r="F264" s="229">
        <f t="shared" ref="F264:F327" si="11">E264/D264</f>
        <v>0.35837984526544253</v>
      </c>
      <c r="G264" s="227">
        <v>0</v>
      </c>
      <c r="H264" s="227">
        <v>3312.77</v>
      </c>
    </row>
    <row r="265" spans="1:13" x14ac:dyDescent="0.3">
      <c r="D265" s="227">
        <v>0</v>
      </c>
      <c r="E265" s="227">
        <f t="shared" si="10"/>
        <v>0</v>
      </c>
      <c r="F265" s="229" t="e">
        <f t="shared" si="11"/>
        <v>#DIV/0!</v>
      </c>
    </row>
    <row r="266" spans="1:13" x14ac:dyDescent="0.3">
      <c r="A266" s="22" t="s">
        <v>261</v>
      </c>
      <c r="B266" s="22" t="s">
        <v>781</v>
      </c>
      <c r="C266" s="227">
        <v>3150</v>
      </c>
      <c r="D266" s="227">
        <v>3027.13</v>
      </c>
      <c r="E266" s="227">
        <f t="shared" si="10"/>
        <v>122.86999999999989</v>
      </c>
      <c r="F266" s="229">
        <f t="shared" si="11"/>
        <v>4.058960137159616E-2</v>
      </c>
      <c r="G266" s="227">
        <v>252</v>
      </c>
      <c r="H266" s="227">
        <v>2775.13</v>
      </c>
      <c r="J266" s="22">
        <v>2040</v>
      </c>
      <c r="K266" s="22">
        <v>972</v>
      </c>
      <c r="L266" s="22">
        <v>3012</v>
      </c>
      <c r="M266" s="22">
        <v>0.05</v>
      </c>
    </row>
    <row r="267" spans="1:13" x14ac:dyDescent="0.3">
      <c r="A267" s="22" t="s">
        <v>262</v>
      </c>
      <c r="B267" s="22" t="s">
        <v>783</v>
      </c>
      <c r="C267" s="227">
        <v>3240</v>
      </c>
      <c r="D267" s="227">
        <v>3110.33</v>
      </c>
      <c r="E267" s="227">
        <f t="shared" si="10"/>
        <v>129.67000000000007</v>
      </c>
      <c r="F267" s="229">
        <f t="shared" si="11"/>
        <v>4.1690110052631096E-2</v>
      </c>
      <c r="G267" s="227">
        <v>534</v>
      </c>
      <c r="H267" s="227">
        <v>2576.33</v>
      </c>
      <c r="J267" s="22">
        <v>3240</v>
      </c>
    </row>
    <row r="268" spans="1:13" x14ac:dyDescent="0.3">
      <c r="A268" s="22" t="s">
        <v>263</v>
      </c>
      <c r="B268" s="22" t="s">
        <v>785</v>
      </c>
      <c r="C268" s="227">
        <v>0</v>
      </c>
      <c r="D268" s="227">
        <v>0</v>
      </c>
      <c r="E268" s="227">
        <f t="shared" si="10"/>
        <v>0</v>
      </c>
      <c r="F268" s="229" t="e">
        <f t="shared" si="11"/>
        <v>#DIV/0!</v>
      </c>
      <c r="G268" s="227">
        <v>0</v>
      </c>
      <c r="H268" s="227">
        <v>0</v>
      </c>
    </row>
    <row r="269" spans="1:13" x14ac:dyDescent="0.3">
      <c r="A269" s="22" t="s">
        <v>264</v>
      </c>
      <c r="B269" s="22" t="s">
        <v>787</v>
      </c>
      <c r="C269" s="227">
        <v>2000</v>
      </c>
      <c r="D269" s="227">
        <v>1972</v>
      </c>
      <c r="E269" s="227">
        <f t="shared" si="10"/>
        <v>28</v>
      </c>
      <c r="F269" s="229">
        <f t="shared" si="11"/>
        <v>1.4198782961460446E-2</v>
      </c>
      <c r="G269" s="227">
        <v>520</v>
      </c>
      <c r="H269" s="227">
        <v>1452</v>
      </c>
    </row>
    <row r="270" spans="1:13" x14ac:dyDescent="0.3">
      <c r="A270" s="22" t="s">
        <v>5</v>
      </c>
      <c r="C270" s="227">
        <v>8390</v>
      </c>
      <c r="D270" s="227">
        <v>8109.46</v>
      </c>
      <c r="E270" s="227">
        <f t="shared" si="10"/>
        <v>280.53999999999996</v>
      </c>
      <c r="F270" s="229">
        <f t="shared" si="11"/>
        <v>3.45941653328335E-2</v>
      </c>
      <c r="G270" s="227">
        <v>1306</v>
      </c>
      <c r="H270" s="227">
        <v>6803.46</v>
      </c>
    </row>
    <row r="271" spans="1:13" x14ac:dyDescent="0.3">
      <c r="D271" s="227">
        <v>0</v>
      </c>
      <c r="E271" s="227">
        <f t="shared" si="10"/>
        <v>0</v>
      </c>
      <c r="F271" s="229" t="e">
        <f t="shared" si="11"/>
        <v>#DIV/0!</v>
      </c>
    </row>
    <row r="272" spans="1:13" x14ac:dyDescent="0.3">
      <c r="A272" s="22" t="s">
        <v>265</v>
      </c>
      <c r="B272" s="22" t="s">
        <v>1839</v>
      </c>
      <c r="C272" s="227">
        <v>8390</v>
      </c>
      <c r="D272" s="227">
        <v>8109.46</v>
      </c>
      <c r="E272" s="227">
        <f t="shared" si="10"/>
        <v>280.53999999999996</v>
      </c>
      <c r="F272" s="229">
        <f t="shared" si="11"/>
        <v>3.45941653328335E-2</v>
      </c>
      <c r="G272" s="227">
        <v>1306</v>
      </c>
      <c r="H272" s="227">
        <v>6803.46</v>
      </c>
    </row>
    <row r="273" spans="1:12" x14ac:dyDescent="0.3">
      <c r="D273" s="227">
        <v>0</v>
      </c>
      <c r="E273" s="227">
        <f t="shared" si="10"/>
        <v>0</v>
      </c>
      <c r="F273" s="229" t="e">
        <f t="shared" si="11"/>
        <v>#DIV/0!</v>
      </c>
    </row>
    <row r="274" spans="1:12" x14ac:dyDescent="0.3">
      <c r="A274" s="22" t="s">
        <v>266</v>
      </c>
      <c r="B274" s="22" t="s">
        <v>793</v>
      </c>
      <c r="C274" s="227">
        <v>2500</v>
      </c>
      <c r="D274" s="227">
        <v>1674.33</v>
      </c>
      <c r="E274" s="227">
        <f t="shared" si="10"/>
        <v>825.67000000000007</v>
      </c>
      <c r="F274" s="229">
        <f t="shared" si="11"/>
        <v>0.49313456725973981</v>
      </c>
      <c r="G274" s="227">
        <v>300</v>
      </c>
      <c r="H274" s="227">
        <v>1374.33</v>
      </c>
    </row>
    <row r="275" spans="1:12" x14ac:dyDescent="0.3">
      <c r="A275" s="22" t="s">
        <v>267</v>
      </c>
      <c r="B275" s="22" t="s">
        <v>795</v>
      </c>
      <c r="C275" s="227">
        <v>2000</v>
      </c>
      <c r="D275" s="227">
        <v>471</v>
      </c>
      <c r="E275" s="227">
        <f t="shared" si="10"/>
        <v>1529</v>
      </c>
      <c r="F275" s="229">
        <f t="shared" si="11"/>
        <v>3.2462845010615711</v>
      </c>
      <c r="G275" s="227">
        <v>0</v>
      </c>
      <c r="H275" s="227">
        <v>471</v>
      </c>
    </row>
    <row r="276" spans="1:12" x14ac:dyDescent="0.3">
      <c r="A276" s="22" t="s">
        <v>268</v>
      </c>
      <c r="B276" s="22" t="s">
        <v>797</v>
      </c>
      <c r="C276" s="227">
        <v>2000</v>
      </c>
      <c r="D276" s="227">
        <v>3305.02</v>
      </c>
      <c r="E276" s="227">
        <f t="shared" si="10"/>
        <v>-1305.02</v>
      </c>
      <c r="F276" s="229">
        <f t="shared" si="11"/>
        <v>-0.39485994033319011</v>
      </c>
      <c r="G276" s="227">
        <v>0</v>
      </c>
      <c r="H276" s="227">
        <v>3305.02</v>
      </c>
    </row>
    <row r="277" spans="1:12" x14ac:dyDescent="0.3">
      <c r="A277" s="22" t="s">
        <v>269</v>
      </c>
      <c r="B277" s="22" t="s">
        <v>813</v>
      </c>
      <c r="D277" s="227">
        <v>0</v>
      </c>
      <c r="E277" s="227">
        <f t="shared" si="10"/>
        <v>0</v>
      </c>
      <c r="F277" s="229" t="e">
        <f t="shared" si="11"/>
        <v>#DIV/0!</v>
      </c>
    </row>
    <row r="278" spans="1:12" x14ac:dyDescent="0.3">
      <c r="A278" s="22" t="s">
        <v>5</v>
      </c>
      <c r="C278" s="227">
        <v>6500</v>
      </c>
      <c r="D278" s="227">
        <v>5450.35</v>
      </c>
      <c r="E278" s="227">
        <f t="shared" si="10"/>
        <v>1049.6499999999996</v>
      </c>
      <c r="F278" s="229">
        <f t="shared" si="11"/>
        <v>0.19258396249782117</v>
      </c>
      <c r="G278" s="227">
        <v>300</v>
      </c>
      <c r="H278" s="227">
        <v>5150.3500000000004</v>
      </c>
    </row>
    <row r="279" spans="1:12" x14ac:dyDescent="0.3">
      <c r="D279" s="227">
        <v>0</v>
      </c>
      <c r="E279" s="227">
        <f t="shared" si="10"/>
        <v>0</v>
      </c>
      <c r="F279" s="229" t="e">
        <f t="shared" si="11"/>
        <v>#DIV/0!</v>
      </c>
    </row>
    <row r="280" spans="1:12" x14ac:dyDescent="0.3">
      <c r="A280" s="22" t="s">
        <v>270</v>
      </c>
      <c r="B280" s="22" t="s">
        <v>1840</v>
      </c>
      <c r="C280" s="227">
        <v>6500</v>
      </c>
      <c r="D280" s="227">
        <v>5450.35</v>
      </c>
      <c r="E280" s="227">
        <f t="shared" si="10"/>
        <v>1049.6499999999996</v>
      </c>
      <c r="F280" s="229">
        <f t="shared" si="11"/>
        <v>0.19258396249782117</v>
      </c>
      <c r="G280" s="227">
        <v>300</v>
      </c>
      <c r="H280" s="227">
        <v>5150.3500000000004</v>
      </c>
    </row>
    <row r="281" spans="1:12" x14ac:dyDescent="0.3">
      <c r="D281" s="227">
        <v>0</v>
      </c>
      <c r="E281" s="227">
        <f t="shared" si="10"/>
        <v>0</v>
      </c>
      <c r="F281" s="229" t="e">
        <f t="shared" si="11"/>
        <v>#DIV/0!</v>
      </c>
    </row>
    <row r="282" spans="1:12" x14ac:dyDescent="0.3">
      <c r="A282" s="22" t="s">
        <v>271</v>
      </c>
      <c r="B282" s="22" t="s">
        <v>791</v>
      </c>
      <c r="C282" s="227">
        <v>9308</v>
      </c>
      <c r="D282" s="227">
        <v>7144.5</v>
      </c>
      <c r="E282" s="227">
        <f t="shared" si="10"/>
        <v>2163.5</v>
      </c>
      <c r="F282" s="229">
        <f t="shared" si="11"/>
        <v>0.3028203513191966</v>
      </c>
      <c r="G282" s="227">
        <v>600</v>
      </c>
      <c r="H282" s="227">
        <v>6544.5</v>
      </c>
      <c r="J282" s="22" t="s">
        <v>2136</v>
      </c>
    </row>
    <row r="283" spans="1:12" x14ac:dyDescent="0.3">
      <c r="A283" s="22" t="s">
        <v>5</v>
      </c>
      <c r="C283" s="227">
        <v>9308</v>
      </c>
      <c r="D283" s="227">
        <v>7144.5</v>
      </c>
      <c r="E283" s="227">
        <f t="shared" si="10"/>
        <v>2163.5</v>
      </c>
      <c r="F283" s="229">
        <f t="shared" si="11"/>
        <v>0.3028203513191966</v>
      </c>
      <c r="G283" s="227">
        <v>600</v>
      </c>
      <c r="H283" s="227">
        <v>6544.5</v>
      </c>
    </row>
    <row r="284" spans="1:12" x14ac:dyDescent="0.3">
      <c r="D284" s="227">
        <v>0</v>
      </c>
      <c r="E284" s="227">
        <f t="shared" si="10"/>
        <v>0</v>
      </c>
      <c r="F284" s="229" t="e">
        <f t="shared" si="11"/>
        <v>#DIV/0!</v>
      </c>
    </row>
    <row r="285" spans="1:12" x14ac:dyDescent="0.3">
      <c r="A285" s="22" t="s">
        <v>272</v>
      </c>
      <c r="B285" s="22" t="s">
        <v>1841</v>
      </c>
      <c r="C285" s="227">
        <v>9308</v>
      </c>
      <c r="D285" s="227">
        <v>7144.5</v>
      </c>
      <c r="E285" s="227">
        <f t="shared" si="10"/>
        <v>2163.5</v>
      </c>
      <c r="F285" s="229">
        <f t="shared" si="11"/>
        <v>0.3028203513191966</v>
      </c>
      <c r="G285" s="227">
        <v>600</v>
      </c>
      <c r="H285" s="227">
        <v>6544.5</v>
      </c>
    </row>
    <row r="286" spans="1:12" x14ac:dyDescent="0.3">
      <c r="D286" s="227">
        <v>0</v>
      </c>
      <c r="E286" s="227">
        <f t="shared" si="10"/>
        <v>0</v>
      </c>
      <c r="F286" s="229" t="e">
        <f t="shared" si="11"/>
        <v>#DIV/0!</v>
      </c>
    </row>
    <row r="287" spans="1:12" x14ac:dyDescent="0.3">
      <c r="A287" s="22" t="s">
        <v>273</v>
      </c>
      <c r="B287" s="22" t="s">
        <v>803</v>
      </c>
      <c r="C287" s="227">
        <v>4245</v>
      </c>
      <c r="D287" s="227">
        <v>3704.25</v>
      </c>
      <c r="E287" s="227">
        <f t="shared" si="10"/>
        <v>540.75</v>
      </c>
      <c r="F287" s="229">
        <f t="shared" si="11"/>
        <v>0.14598096780724842</v>
      </c>
      <c r="G287" s="227">
        <v>1875</v>
      </c>
      <c r="H287" s="227">
        <v>1829.25</v>
      </c>
      <c r="J287" s="22">
        <v>2704</v>
      </c>
      <c r="K287" s="22">
        <v>874.75</v>
      </c>
      <c r="L287" s="22" t="s">
        <v>2155</v>
      </c>
    </row>
    <row r="288" spans="1:12" x14ac:dyDescent="0.3">
      <c r="A288" s="22" t="s">
        <v>274</v>
      </c>
      <c r="B288" s="22" t="s">
        <v>805</v>
      </c>
      <c r="C288" s="227">
        <v>202</v>
      </c>
      <c r="D288" s="227">
        <v>169.5</v>
      </c>
      <c r="E288" s="227">
        <f t="shared" si="10"/>
        <v>32.5</v>
      </c>
      <c r="F288" s="229">
        <f t="shared" si="11"/>
        <v>0.19174041297935104</v>
      </c>
      <c r="G288" s="227">
        <v>78</v>
      </c>
      <c r="H288" s="227">
        <v>91.5</v>
      </c>
      <c r="J288" s="22">
        <v>169</v>
      </c>
      <c r="K288" s="22">
        <v>77.5</v>
      </c>
    </row>
    <row r="289" spans="1:12" x14ac:dyDescent="0.3">
      <c r="A289" s="22" t="s">
        <v>275</v>
      </c>
      <c r="B289" s="22" t="s">
        <v>807</v>
      </c>
      <c r="C289" s="227">
        <v>8235</v>
      </c>
      <c r="D289" s="227">
        <v>5611.75</v>
      </c>
      <c r="E289" s="227">
        <f t="shared" si="10"/>
        <v>2623.25</v>
      </c>
      <c r="F289" s="229">
        <f t="shared" si="11"/>
        <v>0.46745667572504118</v>
      </c>
      <c r="G289" s="227">
        <v>1357</v>
      </c>
      <c r="H289" s="227">
        <v>4254.75</v>
      </c>
      <c r="J289" s="22">
        <v>5612</v>
      </c>
      <c r="K289" s="22">
        <v>1357.25</v>
      </c>
      <c r="L289" s="22" t="s">
        <v>2135</v>
      </c>
    </row>
    <row r="290" spans="1:12" x14ac:dyDescent="0.3">
      <c r="A290" s="22" t="s">
        <v>5</v>
      </c>
      <c r="C290" s="227">
        <v>12682</v>
      </c>
      <c r="D290" s="227">
        <v>9485.5</v>
      </c>
      <c r="E290" s="227">
        <f t="shared" si="10"/>
        <v>3196.5</v>
      </c>
      <c r="F290" s="229">
        <f t="shared" si="11"/>
        <v>0.33698803436824626</v>
      </c>
      <c r="G290" s="227">
        <v>3310</v>
      </c>
      <c r="H290" s="227">
        <v>6175.5</v>
      </c>
    </row>
    <row r="291" spans="1:12" x14ac:dyDescent="0.3">
      <c r="D291" s="227">
        <v>0</v>
      </c>
      <c r="E291" s="227">
        <f t="shared" si="10"/>
        <v>0</v>
      </c>
      <c r="F291" s="229" t="e">
        <f t="shared" si="11"/>
        <v>#DIV/0!</v>
      </c>
    </row>
    <row r="292" spans="1:12" x14ac:dyDescent="0.3">
      <c r="A292" s="22" t="s">
        <v>276</v>
      </c>
      <c r="B292" s="22" t="s">
        <v>1842</v>
      </c>
      <c r="C292" s="227">
        <v>12682</v>
      </c>
      <c r="D292" s="227">
        <v>9485.5</v>
      </c>
      <c r="E292" s="227">
        <f t="shared" si="10"/>
        <v>3196.5</v>
      </c>
      <c r="F292" s="229">
        <f t="shared" si="11"/>
        <v>0.33698803436824626</v>
      </c>
      <c r="G292" s="227">
        <v>3310</v>
      </c>
      <c r="H292" s="227">
        <v>6175.5</v>
      </c>
    </row>
    <row r="293" spans="1:12" x14ac:dyDescent="0.3">
      <c r="D293" s="227">
        <v>0</v>
      </c>
      <c r="E293" s="227">
        <f t="shared" si="10"/>
        <v>0</v>
      </c>
      <c r="F293" s="229" t="e">
        <f t="shared" si="11"/>
        <v>#DIV/0!</v>
      </c>
    </row>
    <row r="294" spans="1:12" x14ac:dyDescent="0.3">
      <c r="A294" s="22" t="s">
        <v>277</v>
      </c>
      <c r="B294" s="22" t="s">
        <v>789</v>
      </c>
      <c r="C294" s="227">
        <v>1000</v>
      </c>
      <c r="D294" s="227">
        <v>893.69</v>
      </c>
      <c r="E294" s="227">
        <f t="shared" si="10"/>
        <v>106.30999999999995</v>
      </c>
      <c r="F294" s="229">
        <f t="shared" si="11"/>
        <v>0.11895623762154656</v>
      </c>
      <c r="G294" s="227">
        <v>0</v>
      </c>
      <c r="H294" s="227">
        <v>893.69</v>
      </c>
    </row>
    <row r="295" spans="1:12" x14ac:dyDescent="0.3">
      <c r="A295" s="22" t="s">
        <v>278</v>
      </c>
      <c r="B295" s="22" t="s">
        <v>799</v>
      </c>
      <c r="C295" s="227">
        <v>2000</v>
      </c>
      <c r="D295" s="227">
        <v>1995.4</v>
      </c>
      <c r="E295" s="227">
        <f t="shared" si="10"/>
        <v>4.5999999999999091</v>
      </c>
      <c r="F295" s="229">
        <f t="shared" si="11"/>
        <v>2.3053021950485662E-3</v>
      </c>
      <c r="G295" s="227">
        <v>0</v>
      </c>
      <c r="H295" s="227">
        <v>1995.4</v>
      </c>
    </row>
    <row r="296" spans="1:12" x14ac:dyDescent="0.3">
      <c r="A296" s="22" t="s">
        <v>279</v>
      </c>
      <c r="B296" s="22" t="s">
        <v>811</v>
      </c>
      <c r="C296" s="227">
        <v>3000</v>
      </c>
      <c r="D296" s="227">
        <v>3106.65</v>
      </c>
      <c r="E296" s="227">
        <f t="shared" si="10"/>
        <v>-106.65000000000009</v>
      </c>
      <c r="F296" s="229">
        <f t="shared" si="11"/>
        <v>-3.4329583313215228E-2</v>
      </c>
      <c r="G296" s="227">
        <v>0</v>
      </c>
      <c r="H296" s="227">
        <v>3106.65</v>
      </c>
    </row>
    <row r="297" spans="1:12" x14ac:dyDescent="0.3">
      <c r="A297" s="22" t="s">
        <v>5</v>
      </c>
      <c r="C297" s="227">
        <v>6000</v>
      </c>
      <c r="D297" s="227">
        <v>5995.74</v>
      </c>
      <c r="E297" s="227">
        <f t="shared" si="10"/>
        <v>4.2600000000002183</v>
      </c>
      <c r="F297" s="229">
        <f t="shared" si="11"/>
        <v>7.1050445816533384E-4</v>
      </c>
      <c r="G297" s="227">
        <v>0</v>
      </c>
      <c r="H297" s="227">
        <v>5995.74</v>
      </c>
    </row>
    <row r="298" spans="1:12" x14ac:dyDescent="0.3">
      <c r="D298" s="227">
        <v>0</v>
      </c>
      <c r="E298" s="227">
        <f t="shared" si="10"/>
        <v>0</v>
      </c>
      <c r="F298" s="229" t="e">
        <f t="shared" si="11"/>
        <v>#DIV/0!</v>
      </c>
    </row>
    <row r="299" spans="1:12" x14ac:dyDescent="0.3">
      <c r="A299" s="22" t="s">
        <v>280</v>
      </c>
      <c r="B299" s="22" t="s">
        <v>1843</v>
      </c>
      <c r="C299" s="227">
        <v>6000</v>
      </c>
      <c r="D299" s="227">
        <v>5995.74</v>
      </c>
      <c r="E299" s="227">
        <f t="shared" si="10"/>
        <v>4.2600000000002183</v>
      </c>
      <c r="F299" s="229">
        <f t="shared" si="11"/>
        <v>7.1050445816533384E-4</v>
      </c>
      <c r="G299" s="227">
        <v>0</v>
      </c>
      <c r="H299" s="227">
        <v>5995.74</v>
      </c>
    </row>
    <row r="300" spans="1:12" x14ac:dyDescent="0.3">
      <c r="D300" s="227">
        <v>0</v>
      </c>
      <c r="E300" s="227">
        <f t="shared" si="10"/>
        <v>0</v>
      </c>
      <c r="F300" s="229" t="e">
        <f t="shared" si="11"/>
        <v>#DIV/0!</v>
      </c>
    </row>
    <row r="301" spans="1:12" x14ac:dyDescent="0.3">
      <c r="A301" s="22" t="s">
        <v>281</v>
      </c>
      <c r="B301" s="22" t="s">
        <v>779</v>
      </c>
      <c r="C301" s="227">
        <v>12000</v>
      </c>
      <c r="D301" s="227">
        <v>11595</v>
      </c>
      <c r="E301" s="227">
        <f t="shared" si="10"/>
        <v>405</v>
      </c>
      <c r="F301" s="229">
        <f t="shared" si="11"/>
        <v>3.4928848641655887E-2</v>
      </c>
      <c r="G301" s="227">
        <v>0</v>
      </c>
      <c r="H301" s="227">
        <v>11595</v>
      </c>
    </row>
    <row r="302" spans="1:12" x14ac:dyDescent="0.3">
      <c r="A302" s="22" t="s">
        <v>5</v>
      </c>
      <c r="C302" s="227">
        <v>12000</v>
      </c>
      <c r="D302" s="227">
        <v>11595</v>
      </c>
      <c r="E302" s="227">
        <f t="shared" si="10"/>
        <v>405</v>
      </c>
      <c r="F302" s="229">
        <f t="shared" si="11"/>
        <v>3.4928848641655887E-2</v>
      </c>
      <c r="G302" s="227">
        <v>0</v>
      </c>
      <c r="H302" s="227">
        <v>11595</v>
      </c>
    </row>
    <row r="303" spans="1:12" x14ac:dyDescent="0.3">
      <c r="D303" s="227">
        <v>0</v>
      </c>
      <c r="E303" s="227">
        <f t="shared" si="10"/>
        <v>0</v>
      </c>
      <c r="F303" s="229" t="e">
        <f t="shared" si="11"/>
        <v>#DIV/0!</v>
      </c>
    </row>
    <row r="304" spans="1:12" x14ac:dyDescent="0.3">
      <c r="A304" s="22" t="s">
        <v>282</v>
      </c>
      <c r="B304" s="22" t="s">
        <v>1844</v>
      </c>
      <c r="C304" s="227">
        <v>12000</v>
      </c>
      <c r="D304" s="227">
        <v>11595</v>
      </c>
      <c r="E304" s="227">
        <f t="shared" si="10"/>
        <v>405</v>
      </c>
      <c r="F304" s="229">
        <f t="shared" si="11"/>
        <v>3.4928848641655887E-2</v>
      </c>
      <c r="G304" s="227">
        <v>0</v>
      </c>
      <c r="H304" s="227">
        <v>11595</v>
      </c>
    </row>
    <row r="305" spans="1:10" x14ac:dyDescent="0.3">
      <c r="D305" s="227">
        <v>0</v>
      </c>
      <c r="E305" s="227">
        <f t="shared" si="10"/>
        <v>0</v>
      </c>
      <c r="F305" s="229" t="e">
        <f t="shared" si="11"/>
        <v>#DIV/0!</v>
      </c>
    </row>
    <row r="306" spans="1:10" x14ac:dyDescent="0.3">
      <c r="A306" s="22" t="s">
        <v>283</v>
      </c>
      <c r="B306" s="22" t="s">
        <v>819</v>
      </c>
      <c r="C306" s="227">
        <v>46550</v>
      </c>
      <c r="D306" s="227">
        <v>38000</v>
      </c>
      <c r="E306" s="227">
        <f t="shared" si="10"/>
        <v>8550</v>
      </c>
      <c r="F306" s="229">
        <f t="shared" si="11"/>
        <v>0.22500000000000001</v>
      </c>
      <c r="G306" s="227">
        <v>0</v>
      </c>
      <c r="H306" s="227">
        <v>38000</v>
      </c>
      <c r="J306" s="22" t="s">
        <v>2137</v>
      </c>
    </row>
    <row r="307" spans="1:10" x14ac:dyDescent="0.3">
      <c r="A307" s="22" t="s">
        <v>5</v>
      </c>
      <c r="C307" s="227">
        <v>46550</v>
      </c>
      <c r="D307" s="227">
        <v>38000</v>
      </c>
      <c r="E307" s="227">
        <f t="shared" si="10"/>
        <v>8550</v>
      </c>
      <c r="F307" s="229">
        <f t="shared" si="11"/>
        <v>0.22500000000000001</v>
      </c>
      <c r="G307" s="227">
        <v>0</v>
      </c>
      <c r="H307" s="227">
        <v>38000</v>
      </c>
    </row>
    <row r="308" spans="1:10" x14ac:dyDescent="0.3">
      <c r="D308" s="227">
        <v>0</v>
      </c>
      <c r="E308" s="227">
        <f t="shared" si="10"/>
        <v>0</v>
      </c>
      <c r="F308" s="229" t="e">
        <f t="shared" si="11"/>
        <v>#DIV/0!</v>
      </c>
    </row>
    <row r="309" spans="1:10" x14ac:dyDescent="0.3">
      <c r="A309" s="22" t="s">
        <v>284</v>
      </c>
      <c r="B309" s="22" t="s">
        <v>1845</v>
      </c>
      <c r="C309" s="227">
        <v>46550</v>
      </c>
      <c r="D309" s="227">
        <v>38000</v>
      </c>
      <c r="E309" s="227">
        <f t="shared" si="10"/>
        <v>8550</v>
      </c>
      <c r="F309" s="229">
        <f t="shared" si="11"/>
        <v>0.22500000000000001</v>
      </c>
      <c r="G309" s="227">
        <v>0</v>
      </c>
      <c r="H309" s="227">
        <v>38000</v>
      </c>
    </row>
    <row r="310" spans="1:10" x14ac:dyDescent="0.3">
      <c r="D310" s="227">
        <v>0</v>
      </c>
      <c r="E310" s="227">
        <f t="shared" si="10"/>
        <v>0</v>
      </c>
      <c r="F310" s="229" t="e">
        <f t="shared" si="11"/>
        <v>#DIV/0!</v>
      </c>
    </row>
    <row r="311" spans="1:10" x14ac:dyDescent="0.3">
      <c r="A311" s="22" t="s">
        <v>285</v>
      </c>
      <c r="B311" s="22" t="s">
        <v>821</v>
      </c>
      <c r="C311" s="227">
        <v>50000</v>
      </c>
      <c r="D311" s="227">
        <v>43128.79</v>
      </c>
      <c r="E311" s="227">
        <f t="shared" si="10"/>
        <v>6871.2099999999991</v>
      </c>
      <c r="F311" s="229">
        <f t="shared" si="11"/>
        <v>0.15931840424922653</v>
      </c>
      <c r="G311" s="227">
        <v>13000</v>
      </c>
      <c r="H311" s="227">
        <v>30128.79</v>
      </c>
    </row>
    <row r="312" spans="1:10" x14ac:dyDescent="0.3">
      <c r="A312" s="22" t="s">
        <v>5</v>
      </c>
      <c r="C312" s="227">
        <v>50000</v>
      </c>
      <c r="D312" s="227">
        <v>43128.79</v>
      </c>
      <c r="E312" s="227">
        <f t="shared" si="10"/>
        <v>6871.2099999999991</v>
      </c>
      <c r="F312" s="229">
        <f t="shared" si="11"/>
        <v>0.15931840424922653</v>
      </c>
      <c r="G312" s="227">
        <v>13000</v>
      </c>
      <c r="H312" s="227">
        <v>30128.79</v>
      </c>
    </row>
    <row r="313" spans="1:10" x14ac:dyDescent="0.3">
      <c r="D313" s="227">
        <v>0</v>
      </c>
      <c r="E313" s="227">
        <f t="shared" si="10"/>
        <v>0</v>
      </c>
      <c r="F313" s="229" t="e">
        <f t="shared" si="11"/>
        <v>#DIV/0!</v>
      </c>
    </row>
    <row r="314" spans="1:10" x14ac:dyDescent="0.3">
      <c r="A314" s="22" t="s">
        <v>286</v>
      </c>
      <c r="B314" s="22" t="s">
        <v>1837</v>
      </c>
      <c r="C314" s="227">
        <v>50000</v>
      </c>
      <c r="D314" s="227">
        <v>43128.79</v>
      </c>
      <c r="E314" s="227">
        <f t="shared" si="10"/>
        <v>6871.2099999999991</v>
      </c>
      <c r="F314" s="229">
        <f t="shared" si="11"/>
        <v>0.15931840424922653</v>
      </c>
      <c r="G314" s="227">
        <v>13000</v>
      </c>
      <c r="H314" s="227">
        <v>30128.79</v>
      </c>
    </row>
    <row r="315" spans="1:10" x14ac:dyDescent="0.3">
      <c r="D315" s="227">
        <v>0</v>
      </c>
      <c r="E315" s="227">
        <f t="shared" si="10"/>
        <v>0</v>
      </c>
      <c r="F315" s="229" t="e">
        <f t="shared" si="11"/>
        <v>#DIV/0!</v>
      </c>
    </row>
    <row r="316" spans="1:10" x14ac:dyDescent="0.3">
      <c r="A316" s="22" t="s">
        <v>287</v>
      </c>
      <c r="B316" s="22" t="s">
        <v>801</v>
      </c>
      <c r="C316" s="227">
        <v>0</v>
      </c>
      <c r="D316" s="227">
        <v>0</v>
      </c>
      <c r="E316" s="227">
        <f t="shared" si="10"/>
        <v>0</v>
      </c>
      <c r="F316" s="229" t="e">
        <f t="shared" si="11"/>
        <v>#DIV/0!</v>
      </c>
      <c r="G316" s="227">
        <v>0</v>
      </c>
      <c r="H316" s="227">
        <v>0</v>
      </c>
    </row>
    <row r="317" spans="1:10" x14ac:dyDescent="0.3">
      <c r="A317" s="22" t="s">
        <v>288</v>
      </c>
      <c r="B317" s="22" t="s">
        <v>809</v>
      </c>
      <c r="C317" s="227">
        <v>120</v>
      </c>
      <c r="D317" s="227">
        <v>120.5</v>
      </c>
      <c r="E317" s="227">
        <f t="shared" si="10"/>
        <v>-0.5</v>
      </c>
      <c r="F317" s="229">
        <f t="shared" si="11"/>
        <v>-4.1493775933609959E-3</v>
      </c>
      <c r="G317" s="227">
        <v>-400</v>
      </c>
      <c r="H317" s="227">
        <v>520.5</v>
      </c>
    </row>
    <row r="318" spans="1:10" x14ac:dyDescent="0.3">
      <c r="A318" s="22" t="s">
        <v>289</v>
      </c>
      <c r="B318" s="22" t="s">
        <v>815</v>
      </c>
      <c r="C318" s="227">
        <v>0</v>
      </c>
      <c r="D318" s="227">
        <v>0</v>
      </c>
      <c r="E318" s="227">
        <f t="shared" si="10"/>
        <v>0</v>
      </c>
      <c r="F318" s="229" t="e">
        <f t="shared" si="11"/>
        <v>#DIV/0!</v>
      </c>
      <c r="G318" s="227">
        <v>0</v>
      </c>
      <c r="H318" s="227">
        <v>0</v>
      </c>
    </row>
    <row r="319" spans="1:10" x14ac:dyDescent="0.3">
      <c r="A319" s="22" t="s">
        <v>5</v>
      </c>
      <c r="C319" s="227">
        <v>120</v>
      </c>
      <c r="D319" s="227">
        <v>120.5</v>
      </c>
      <c r="E319" s="227">
        <f t="shared" si="10"/>
        <v>-0.5</v>
      </c>
      <c r="F319" s="229">
        <f t="shared" si="11"/>
        <v>-4.1493775933609959E-3</v>
      </c>
      <c r="G319" s="227">
        <v>-400</v>
      </c>
      <c r="H319" s="227">
        <v>520.5</v>
      </c>
    </row>
    <row r="320" spans="1:10" x14ac:dyDescent="0.3">
      <c r="D320" s="227">
        <v>0</v>
      </c>
      <c r="E320" s="227">
        <f t="shared" si="10"/>
        <v>0</v>
      </c>
      <c r="F320" s="229" t="e">
        <f t="shared" si="11"/>
        <v>#DIV/0!</v>
      </c>
    </row>
    <row r="321" spans="1:12" x14ac:dyDescent="0.3">
      <c r="A321" s="22" t="s">
        <v>290</v>
      </c>
      <c r="B321" s="22" t="s">
        <v>1846</v>
      </c>
      <c r="C321" s="227">
        <v>120</v>
      </c>
      <c r="D321" s="227">
        <v>120.5</v>
      </c>
      <c r="E321" s="227">
        <f t="shared" si="10"/>
        <v>-0.5</v>
      </c>
      <c r="F321" s="229">
        <f t="shared" si="11"/>
        <v>-4.1493775933609959E-3</v>
      </c>
      <c r="G321" s="227">
        <v>-400</v>
      </c>
      <c r="H321" s="227">
        <v>520.5</v>
      </c>
    </row>
    <row r="322" spans="1:12" x14ac:dyDescent="0.3">
      <c r="D322" s="227">
        <v>0</v>
      </c>
      <c r="E322" s="227">
        <f t="shared" si="10"/>
        <v>0</v>
      </c>
      <c r="F322" s="229" t="e">
        <f t="shared" si="11"/>
        <v>#DIV/0!</v>
      </c>
    </row>
    <row r="323" spans="1:12" x14ac:dyDescent="0.3">
      <c r="A323" s="22" t="s">
        <v>291</v>
      </c>
      <c r="B323" s="22" t="s">
        <v>817</v>
      </c>
      <c r="C323" s="227">
        <v>18500</v>
      </c>
      <c r="D323" s="227">
        <v>15627.12</v>
      </c>
      <c r="E323" s="227">
        <f t="shared" si="10"/>
        <v>2872.8799999999992</v>
      </c>
      <c r="F323" s="229">
        <f t="shared" si="11"/>
        <v>0.18383937667337288</v>
      </c>
      <c r="G323" s="227">
        <v>5300</v>
      </c>
      <c r="H323" s="227">
        <v>10327.120000000001</v>
      </c>
      <c r="J323" s="22" t="s">
        <v>2225</v>
      </c>
      <c r="L323" s="22" t="s">
        <v>2226</v>
      </c>
    </row>
    <row r="324" spans="1:12" x14ac:dyDescent="0.3">
      <c r="A324" s="22" t="s">
        <v>5</v>
      </c>
      <c r="C324" s="227">
        <v>18500</v>
      </c>
      <c r="D324" s="227">
        <v>15627.12</v>
      </c>
      <c r="E324" s="227">
        <f t="shared" si="10"/>
        <v>2872.8799999999992</v>
      </c>
      <c r="F324" s="229">
        <f t="shared" si="11"/>
        <v>0.18383937667337288</v>
      </c>
      <c r="G324" s="227">
        <v>5300</v>
      </c>
      <c r="H324" s="227">
        <v>10327.120000000001</v>
      </c>
      <c r="J324" s="22" t="s">
        <v>2228</v>
      </c>
    </row>
    <row r="325" spans="1:12" x14ac:dyDescent="0.3">
      <c r="D325" s="227">
        <v>0</v>
      </c>
      <c r="E325" s="227">
        <f t="shared" si="10"/>
        <v>0</v>
      </c>
      <c r="F325" s="229" t="e">
        <f t="shared" si="11"/>
        <v>#DIV/0!</v>
      </c>
    </row>
    <row r="326" spans="1:12" x14ac:dyDescent="0.3">
      <c r="A326" s="22" t="s">
        <v>292</v>
      </c>
      <c r="B326" s="22" t="s">
        <v>1847</v>
      </c>
      <c r="C326" s="227">
        <v>18500</v>
      </c>
      <c r="D326" s="227">
        <v>15627.12</v>
      </c>
      <c r="E326" s="227">
        <f t="shared" si="10"/>
        <v>2872.8799999999992</v>
      </c>
      <c r="F326" s="229">
        <f t="shared" si="11"/>
        <v>0.18383937667337288</v>
      </c>
      <c r="G326" s="227">
        <v>5300</v>
      </c>
      <c r="H326" s="227">
        <v>10327.120000000001</v>
      </c>
    </row>
    <row r="327" spans="1:12" x14ac:dyDescent="0.3">
      <c r="D327" s="227">
        <v>0</v>
      </c>
      <c r="E327" s="227">
        <f t="shared" si="10"/>
        <v>0</v>
      </c>
      <c r="F327" s="229" t="e">
        <f t="shared" si="11"/>
        <v>#DIV/0!</v>
      </c>
    </row>
    <row r="328" spans="1:12" x14ac:dyDescent="0.3">
      <c r="A328" s="22" t="s">
        <v>293</v>
      </c>
      <c r="B328" s="22" t="s">
        <v>773</v>
      </c>
      <c r="C328" s="227">
        <v>111260</v>
      </c>
      <c r="D328" s="227">
        <v>106852</v>
      </c>
      <c r="E328" s="227">
        <f t="shared" ref="E328:E391" si="12">C328-D328</f>
        <v>4408</v>
      </c>
      <c r="F328" s="229">
        <f t="shared" ref="F328:F391" si="13">E328/D328</f>
        <v>4.1253322352412684E-2</v>
      </c>
      <c r="G328" s="227">
        <v>26713</v>
      </c>
      <c r="H328" s="227">
        <v>80139</v>
      </c>
      <c r="J328" s="22">
        <v>106852</v>
      </c>
      <c r="K328" s="22">
        <v>26713</v>
      </c>
    </row>
    <row r="329" spans="1:12" x14ac:dyDescent="0.3">
      <c r="A329" s="22" t="s">
        <v>5</v>
      </c>
      <c r="C329" s="227">
        <v>111260</v>
      </c>
      <c r="D329" s="227">
        <v>106852</v>
      </c>
      <c r="E329" s="227">
        <f t="shared" si="12"/>
        <v>4408</v>
      </c>
      <c r="F329" s="229">
        <f t="shared" si="13"/>
        <v>4.1253322352412684E-2</v>
      </c>
      <c r="G329" s="227">
        <v>26713</v>
      </c>
      <c r="H329" s="227">
        <v>80139</v>
      </c>
    </row>
    <row r="330" spans="1:12" x14ac:dyDescent="0.3">
      <c r="D330" s="227">
        <v>0</v>
      </c>
      <c r="E330" s="227">
        <f t="shared" si="12"/>
        <v>0</v>
      </c>
      <c r="F330" s="229" t="e">
        <f t="shared" si="13"/>
        <v>#DIV/0!</v>
      </c>
    </row>
    <row r="331" spans="1:12" x14ac:dyDescent="0.3">
      <c r="A331" s="22" t="s">
        <v>294</v>
      </c>
      <c r="B331" s="22" t="s">
        <v>1916</v>
      </c>
      <c r="C331" s="227">
        <v>111260</v>
      </c>
      <c r="D331" s="227">
        <v>106852</v>
      </c>
      <c r="E331" s="227">
        <f t="shared" si="12"/>
        <v>4408</v>
      </c>
      <c r="F331" s="229">
        <f t="shared" si="13"/>
        <v>4.1253322352412684E-2</v>
      </c>
      <c r="G331" s="227">
        <v>26713</v>
      </c>
      <c r="H331" s="227">
        <v>80139</v>
      </c>
    </row>
    <row r="332" spans="1:12" x14ac:dyDescent="0.3">
      <c r="D332" s="227">
        <v>0</v>
      </c>
      <c r="E332" s="227">
        <f t="shared" si="12"/>
        <v>0</v>
      </c>
      <c r="F332" s="229" t="e">
        <f t="shared" si="13"/>
        <v>#DIV/0!</v>
      </c>
    </row>
    <row r="333" spans="1:12" x14ac:dyDescent="0.3">
      <c r="A333" s="22" t="s">
        <v>295</v>
      </c>
      <c r="B333" s="22" t="s">
        <v>838</v>
      </c>
      <c r="C333" s="227">
        <v>500</v>
      </c>
      <c r="D333" s="227">
        <v>0</v>
      </c>
      <c r="E333" s="227">
        <f t="shared" si="12"/>
        <v>500</v>
      </c>
      <c r="F333" s="229" t="e">
        <f t="shared" si="13"/>
        <v>#DIV/0!</v>
      </c>
      <c r="G333" s="227">
        <v>0</v>
      </c>
      <c r="H333" s="227">
        <v>0</v>
      </c>
    </row>
    <row r="334" spans="1:12" x14ac:dyDescent="0.3">
      <c r="A334" s="22" t="s">
        <v>296</v>
      </c>
      <c r="B334" s="22" t="s">
        <v>840</v>
      </c>
      <c r="C334" s="227">
        <v>5000</v>
      </c>
      <c r="D334" s="227">
        <v>2670.4</v>
      </c>
      <c r="E334" s="227">
        <f t="shared" si="12"/>
        <v>2329.6</v>
      </c>
      <c r="F334" s="229">
        <f t="shared" si="13"/>
        <v>0.87237866986219281</v>
      </c>
      <c r="G334" s="227">
        <v>0</v>
      </c>
      <c r="H334" s="227">
        <v>2670.4</v>
      </c>
    </row>
    <row r="335" spans="1:12" x14ac:dyDescent="0.3">
      <c r="A335" s="22" t="s">
        <v>297</v>
      </c>
      <c r="B335" s="22" t="s">
        <v>867</v>
      </c>
      <c r="C335" s="227">
        <v>500</v>
      </c>
      <c r="D335" s="227">
        <v>644.62</v>
      </c>
      <c r="E335" s="227">
        <f t="shared" si="12"/>
        <v>-144.62</v>
      </c>
      <c r="F335" s="229">
        <f t="shared" si="13"/>
        <v>-0.22434922900313364</v>
      </c>
      <c r="G335" s="227">
        <v>0</v>
      </c>
      <c r="H335" s="227">
        <v>644.62</v>
      </c>
      <c r="J335" s="22" t="s">
        <v>2139</v>
      </c>
    </row>
    <row r="336" spans="1:12" x14ac:dyDescent="0.3">
      <c r="A336" s="22" t="s">
        <v>298</v>
      </c>
      <c r="B336" s="22" t="s">
        <v>939</v>
      </c>
      <c r="C336" s="227">
        <v>0</v>
      </c>
      <c r="D336" s="227">
        <v>0</v>
      </c>
      <c r="E336" s="227">
        <f t="shared" si="12"/>
        <v>0</v>
      </c>
      <c r="F336" s="229" t="e">
        <f t="shared" si="13"/>
        <v>#DIV/0!</v>
      </c>
      <c r="G336" s="227">
        <v>0</v>
      </c>
      <c r="H336" s="227">
        <v>0</v>
      </c>
    </row>
    <row r="337" spans="1:11" x14ac:dyDescent="0.3">
      <c r="A337" s="22" t="s">
        <v>299</v>
      </c>
      <c r="B337" s="22" t="s">
        <v>1431</v>
      </c>
      <c r="C337" s="227">
        <v>0</v>
      </c>
      <c r="D337" s="227">
        <v>1692.87</v>
      </c>
      <c r="E337" s="227">
        <f t="shared" si="12"/>
        <v>-1692.87</v>
      </c>
      <c r="F337" s="229">
        <f t="shared" si="13"/>
        <v>-1</v>
      </c>
      <c r="G337" s="227">
        <v>0</v>
      </c>
      <c r="H337" s="227">
        <v>1692.87</v>
      </c>
    </row>
    <row r="338" spans="1:11" x14ac:dyDescent="0.3">
      <c r="A338" s="22" t="s">
        <v>300</v>
      </c>
      <c r="B338" s="22" t="s">
        <v>941</v>
      </c>
      <c r="C338" s="227">
        <v>1500</v>
      </c>
      <c r="D338" s="227">
        <v>1470.81</v>
      </c>
      <c r="E338" s="227">
        <f t="shared" si="12"/>
        <v>29.190000000000055</v>
      </c>
      <c r="F338" s="229">
        <f t="shared" si="13"/>
        <v>1.9846207191955491E-2</v>
      </c>
      <c r="G338" s="227">
        <v>0</v>
      </c>
      <c r="H338" s="227">
        <v>1470.81</v>
      </c>
      <c r="J338" s="22" t="s">
        <v>2140</v>
      </c>
    </row>
    <row r="339" spans="1:11" x14ac:dyDescent="0.3">
      <c r="A339" s="22" t="s">
        <v>301</v>
      </c>
      <c r="B339" s="22" t="s">
        <v>964</v>
      </c>
      <c r="C339" s="227">
        <v>2699</v>
      </c>
      <c r="D339" s="227">
        <v>2249.44</v>
      </c>
      <c r="E339" s="227">
        <f t="shared" si="12"/>
        <v>449.55999999999995</v>
      </c>
      <c r="F339" s="229">
        <f t="shared" si="13"/>
        <v>0.19985418593072052</v>
      </c>
      <c r="G339" s="227">
        <v>1145</v>
      </c>
      <c r="H339" s="227">
        <v>1104.44</v>
      </c>
      <c r="J339" s="22">
        <v>2249</v>
      </c>
      <c r="K339" s="22">
        <v>1144.56</v>
      </c>
    </row>
    <row r="340" spans="1:11" x14ac:dyDescent="0.3">
      <c r="A340" s="22" t="s">
        <v>302</v>
      </c>
      <c r="B340" s="22" t="s">
        <v>974</v>
      </c>
      <c r="C340" s="227">
        <v>3000</v>
      </c>
      <c r="D340" s="227">
        <v>461.99</v>
      </c>
      <c r="E340" s="227">
        <f t="shared" si="12"/>
        <v>2538.0100000000002</v>
      </c>
      <c r="F340" s="229">
        <f t="shared" si="13"/>
        <v>5.4936470486374169</v>
      </c>
      <c r="H340" s="227">
        <v>461.99</v>
      </c>
    </row>
    <row r="341" spans="1:11" x14ac:dyDescent="0.3">
      <c r="A341" s="22" t="s">
        <v>303</v>
      </c>
      <c r="B341" s="22" t="s">
        <v>978</v>
      </c>
      <c r="C341" s="227">
        <v>1200</v>
      </c>
      <c r="D341" s="227">
        <v>3568.5</v>
      </c>
      <c r="E341" s="227">
        <f t="shared" si="12"/>
        <v>-2368.5</v>
      </c>
      <c r="F341" s="229">
        <f t="shared" si="13"/>
        <v>-0.66372425388818834</v>
      </c>
      <c r="H341" s="227">
        <v>3568.5</v>
      </c>
    </row>
    <row r="342" spans="1:11" x14ac:dyDescent="0.3">
      <c r="A342" s="22" t="s">
        <v>304</v>
      </c>
      <c r="B342" s="22" t="s">
        <v>980</v>
      </c>
      <c r="C342" s="227">
        <v>6000</v>
      </c>
      <c r="D342" s="227">
        <v>0</v>
      </c>
      <c r="E342" s="227">
        <f t="shared" si="12"/>
        <v>6000</v>
      </c>
      <c r="F342" s="229" t="e">
        <f t="shared" si="13"/>
        <v>#DIV/0!</v>
      </c>
      <c r="H342" s="227">
        <v>0</v>
      </c>
      <c r="J342" s="22" t="s">
        <v>2138</v>
      </c>
    </row>
    <row r="343" spans="1:11" x14ac:dyDescent="0.3">
      <c r="A343" s="22" t="s">
        <v>305</v>
      </c>
      <c r="B343" s="22" t="s">
        <v>982</v>
      </c>
      <c r="C343" s="227">
        <v>2000</v>
      </c>
      <c r="D343" s="227">
        <v>39.119999999999997</v>
      </c>
      <c r="E343" s="227">
        <f t="shared" si="12"/>
        <v>1960.88</v>
      </c>
      <c r="F343" s="229">
        <f t="shared" si="13"/>
        <v>50.124744376278123</v>
      </c>
      <c r="H343" s="227">
        <v>39.119999999999997</v>
      </c>
    </row>
    <row r="344" spans="1:11" x14ac:dyDescent="0.3">
      <c r="A344" s="22" t="s">
        <v>5</v>
      </c>
      <c r="C344" s="227">
        <v>22399</v>
      </c>
      <c r="D344" s="227">
        <v>12797.75</v>
      </c>
      <c r="E344" s="227">
        <f t="shared" si="12"/>
        <v>9601.25</v>
      </c>
      <c r="F344" s="229">
        <f t="shared" si="13"/>
        <v>0.7502295325350159</v>
      </c>
      <c r="G344" s="227">
        <v>1145</v>
      </c>
      <c r="H344" s="227">
        <v>11652.75</v>
      </c>
    </row>
    <row r="345" spans="1:11" x14ac:dyDescent="0.3">
      <c r="D345" s="227">
        <v>0</v>
      </c>
      <c r="E345" s="227">
        <f t="shared" si="12"/>
        <v>0</v>
      </c>
      <c r="F345" s="229" t="e">
        <f t="shared" si="13"/>
        <v>#DIV/0!</v>
      </c>
    </row>
    <row r="346" spans="1:11" x14ac:dyDescent="0.3">
      <c r="A346" s="22" t="s">
        <v>306</v>
      </c>
      <c r="B346" s="22" t="s">
        <v>1915</v>
      </c>
      <c r="C346" s="227">
        <v>22399</v>
      </c>
      <c r="D346" s="227">
        <v>12797.75</v>
      </c>
      <c r="E346" s="227">
        <f t="shared" si="12"/>
        <v>9601.25</v>
      </c>
      <c r="F346" s="229">
        <f t="shared" si="13"/>
        <v>0.7502295325350159</v>
      </c>
      <c r="G346" s="227">
        <v>1145</v>
      </c>
      <c r="H346" s="227">
        <v>11652.75</v>
      </c>
    </row>
    <row r="347" spans="1:11" x14ac:dyDescent="0.3">
      <c r="D347" s="227">
        <v>0</v>
      </c>
      <c r="E347" s="227">
        <f t="shared" si="12"/>
        <v>0</v>
      </c>
      <c r="F347" s="229" t="e">
        <f t="shared" si="13"/>
        <v>#DIV/0!</v>
      </c>
    </row>
    <row r="348" spans="1:11" x14ac:dyDescent="0.3">
      <c r="A348" s="22" t="s">
        <v>307</v>
      </c>
      <c r="B348" s="22" t="s">
        <v>843</v>
      </c>
      <c r="C348" s="227">
        <v>4388</v>
      </c>
      <c r="D348" s="227">
        <v>4454.0200000000004</v>
      </c>
      <c r="E348" s="227">
        <f t="shared" si="12"/>
        <v>-66.020000000000437</v>
      </c>
      <c r="F348" s="229">
        <f t="shared" si="13"/>
        <v>-1.4822564784172597E-2</v>
      </c>
      <c r="G348" s="227">
        <v>400</v>
      </c>
      <c r="H348" s="227">
        <v>4054.02</v>
      </c>
    </row>
    <row r="349" spans="1:11" x14ac:dyDescent="0.3">
      <c r="A349" s="22" t="s">
        <v>5</v>
      </c>
      <c r="C349" s="227">
        <v>4388</v>
      </c>
      <c r="D349" s="227">
        <v>4454.0200000000004</v>
      </c>
      <c r="E349" s="227">
        <f t="shared" si="12"/>
        <v>-66.020000000000437</v>
      </c>
      <c r="F349" s="229">
        <f t="shared" si="13"/>
        <v>-1.4822564784172597E-2</v>
      </c>
      <c r="G349" s="227">
        <v>400</v>
      </c>
      <c r="H349" s="227">
        <v>4054.02</v>
      </c>
    </row>
    <row r="350" spans="1:11" x14ac:dyDescent="0.3">
      <c r="D350" s="227">
        <v>0</v>
      </c>
      <c r="E350" s="227">
        <f t="shared" si="12"/>
        <v>0</v>
      </c>
      <c r="F350" s="229" t="e">
        <f t="shared" si="13"/>
        <v>#DIV/0!</v>
      </c>
    </row>
    <row r="351" spans="1:11" x14ac:dyDescent="0.3">
      <c r="A351" s="22" t="s">
        <v>308</v>
      </c>
      <c r="B351" s="22" t="s">
        <v>1914</v>
      </c>
      <c r="C351" s="227">
        <v>4388</v>
      </c>
      <c r="D351" s="227">
        <v>4454.0200000000004</v>
      </c>
      <c r="E351" s="227">
        <f t="shared" si="12"/>
        <v>-66.020000000000437</v>
      </c>
      <c r="F351" s="229">
        <f t="shared" si="13"/>
        <v>-1.4822564784172597E-2</v>
      </c>
      <c r="G351" s="227">
        <v>400</v>
      </c>
      <c r="H351" s="227">
        <v>4054.02</v>
      </c>
    </row>
    <row r="352" spans="1:11" x14ac:dyDescent="0.3">
      <c r="D352" s="227">
        <v>0</v>
      </c>
      <c r="E352" s="227">
        <f t="shared" si="12"/>
        <v>0</v>
      </c>
      <c r="F352" s="229" t="e">
        <f t="shared" si="13"/>
        <v>#DIV/0!</v>
      </c>
    </row>
    <row r="353" spans="1:12" x14ac:dyDescent="0.3">
      <c r="A353" s="22" t="s">
        <v>309</v>
      </c>
      <c r="B353" s="22" t="s">
        <v>972</v>
      </c>
      <c r="C353" s="227">
        <v>22000</v>
      </c>
      <c r="D353" s="227">
        <v>21496.18</v>
      </c>
      <c r="E353" s="227">
        <f t="shared" si="12"/>
        <v>503.81999999999971</v>
      </c>
      <c r="F353" s="229">
        <f t="shared" si="13"/>
        <v>2.3437652643399882E-2</v>
      </c>
      <c r="G353" s="227">
        <v>3600</v>
      </c>
      <c r="H353" s="227">
        <v>17896.18</v>
      </c>
      <c r="J353" s="22">
        <v>21624</v>
      </c>
      <c r="K353" s="22">
        <v>21894.3</v>
      </c>
      <c r="L353" s="22">
        <v>0.05</v>
      </c>
    </row>
    <row r="354" spans="1:12" x14ac:dyDescent="0.3">
      <c r="A354" s="22" t="s">
        <v>5</v>
      </c>
      <c r="C354" s="227">
        <v>22000</v>
      </c>
      <c r="D354" s="227">
        <v>21496.18</v>
      </c>
      <c r="E354" s="227">
        <f t="shared" si="12"/>
        <v>503.81999999999971</v>
      </c>
      <c r="F354" s="229">
        <f t="shared" si="13"/>
        <v>2.3437652643399882E-2</v>
      </c>
      <c r="G354" s="227">
        <v>3600</v>
      </c>
      <c r="H354" s="227">
        <v>17896.18</v>
      </c>
    </row>
    <row r="355" spans="1:12" x14ac:dyDescent="0.3">
      <c r="D355" s="227">
        <v>0</v>
      </c>
      <c r="E355" s="227">
        <f t="shared" si="12"/>
        <v>0</v>
      </c>
      <c r="F355" s="229" t="e">
        <f t="shared" si="13"/>
        <v>#DIV/0!</v>
      </c>
    </row>
    <row r="356" spans="1:12" x14ac:dyDescent="0.3">
      <c r="A356" s="22" t="s">
        <v>310</v>
      </c>
      <c r="B356" s="22" t="s">
        <v>1913</v>
      </c>
      <c r="C356" s="227">
        <v>22000</v>
      </c>
      <c r="D356" s="227">
        <v>21496.18</v>
      </c>
      <c r="E356" s="227">
        <f t="shared" si="12"/>
        <v>503.81999999999971</v>
      </c>
      <c r="F356" s="229">
        <f t="shared" si="13"/>
        <v>2.3437652643399882E-2</v>
      </c>
      <c r="G356" s="227">
        <v>3600</v>
      </c>
      <c r="H356" s="227">
        <v>17896.18</v>
      </c>
    </row>
    <row r="357" spans="1:12" x14ac:dyDescent="0.3">
      <c r="D357" s="227">
        <v>0</v>
      </c>
      <c r="E357" s="227">
        <f t="shared" si="12"/>
        <v>0</v>
      </c>
      <c r="F357" s="229" t="e">
        <f t="shared" si="13"/>
        <v>#DIV/0!</v>
      </c>
    </row>
    <row r="358" spans="1:12" x14ac:dyDescent="0.3">
      <c r="A358" s="22" t="s">
        <v>311</v>
      </c>
      <c r="B358" s="22" t="s">
        <v>976</v>
      </c>
      <c r="C358" s="227">
        <v>63775</v>
      </c>
      <c r="D358" s="227">
        <v>60499.67</v>
      </c>
      <c r="E358" s="227">
        <f t="shared" si="12"/>
        <v>3275.3300000000017</v>
      </c>
      <c r="F358" s="229">
        <f t="shared" si="13"/>
        <v>5.4137981248492791E-2</v>
      </c>
      <c r="G358" s="227">
        <v>11990</v>
      </c>
      <c r="H358" s="227">
        <v>48509.67</v>
      </c>
      <c r="J358" s="22" t="s">
        <v>2141</v>
      </c>
      <c r="L358" s="22">
        <v>63774.700000000004</v>
      </c>
    </row>
    <row r="359" spans="1:12" x14ac:dyDescent="0.3">
      <c r="A359" s="22" t="s">
        <v>5</v>
      </c>
      <c r="C359" s="227">
        <v>63775</v>
      </c>
      <c r="D359" s="227">
        <v>60499.67</v>
      </c>
      <c r="E359" s="227">
        <f t="shared" si="12"/>
        <v>3275.3300000000017</v>
      </c>
      <c r="F359" s="229">
        <f t="shared" si="13"/>
        <v>5.4137981248492791E-2</v>
      </c>
      <c r="G359" s="227">
        <v>11990</v>
      </c>
      <c r="H359" s="227">
        <v>48509.67</v>
      </c>
      <c r="J359" s="22">
        <v>60500</v>
      </c>
      <c r="K359" s="22">
        <v>11990.330000000002</v>
      </c>
    </row>
    <row r="360" spans="1:12" x14ac:dyDescent="0.3">
      <c r="D360" s="227">
        <v>0</v>
      </c>
      <c r="E360" s="227">
        <f t="shared" si="12"/>
        <v>0</v>
      </c>
      <c r="F360" s="229" t="e">
        <f t="shared" si="13"/>
        <v>#DIV/0!</v>
      </c>
    </row>
    <row r="361" spans="1:12" x14ac:dyDescent="0.3">
      <c r="A361" s="22" t="s">
        <v>312</v>
      </c>
      <c r="B361" s="22" t="s">
        <v>1912</v>
      </c>
      <c r="C361" s="227">
        <v>63775</v>
      </c>
      <c r="D361" s="227">
        <v>60499.67</v>
      </c>
      <c r="E361" s="227">
        <f t="shared" si="12"/>
        <v>3275.3300000000017</v>
      </c>
      <c r="F361" s="229">
        <f t="shared" si="13"/>
        <v>5.4137981248492791E-2</v>
      </c>
      <c r="G361" s="227">
        <v>11990</v>
      </c>
      <c r="H361" s="227">
        <v>48509.67</v>
      </c>
    </row>
    <row r="362" spans="1:12" x14ac:dyDescent="0.3">
      <c r="D362" s="227">
        <v>0</v>
      </c>
      <c r="E362" s="227">
        <f t="shared" si="12"/>
        <v>0</v>
      </c>
      <c r="F362" s="229" t="e">
        <f t="shared" si="13"/>
        <v>#DIV/0!</v>
      </c>
    </row>
    <row r="363" spans="1:12" x14ac:dyDescent="0.3">
      <c r="A363" s="22" t="s">
        <v>313</v>
      </c>
      <c r="B363" s="22" t="s">
        <v>853</v>
      </c>
      <c r="C363" s="227">
        <v>3000</v>
      </c>
      <c r="D363" s="227">
        <v>2591.87</v>
      </c>
      <c r="E363" s="227">
        <f t="shared" si="12"/>
        <v>408.13000000000011</v>
      </c>
      <c r="F363" s="229">
        <f t="shared" si="13"/>
        <v>0.1574654593015854</v>
      </c>
      <c r="G363" s="227">
        <v>300</v>
      </c>
      <c r="H363" s="227">
        <v>2291.87</v>
      </c>
    </row>
    <row r="364" spans="1:12" x14ac:dyDescent="0.3">
      <c r="A364" s="22" t="s">
        <v>314</v>
      </c>
      <c r="B364" s="22" t="s">
        <v>864</v>
      </c>
      <c r="C364" s="227">
        <v>4000</v>
      </c>
      <c r="D364" s="227">
        <v>3005.7799999999997</v>
      </c>
      <c r="E364" s="227">
        <f t="shared" si="12"/>
        <v>994.22000000000025</v>
      </c>
      <c r="F364" s="229">
        <f t="shared" si="13"/>
        <v>0.33076938431954445</v>
      </c>
      <c r="G364" s="227">
        <v>1000</v>
      </c>
      <c r="H364" s="227">
        <v>2005.78</v>
      </c>
    </row>
    <row r="365" spans="1:12" x14ac:dyDescent="0.3">
      <c r="A365" s="22" t="s">
        <v>5</v>
      </c>
      <c r="C365" s="227">
        <v>7000</v>
      </c>
      <c r="D365" s="227">
        <v>5597.65</v>
      </c>
      <c r="E365" s="227">
        <f t="shared" si="12"/>
        <v>1402.3500000000004</v>
      </c>
      <c r="F365" s="229">
        <f t="shared" si="13"/>
        <v>0.25052477378900084</v>
      </c>
      <c r="G365" s="227">
        <v>1300</v>
      </c>
      <c r="H365" s="227">
        <v>4297.6499999999996</v>
      </c>
    </row>
    <row r="366" spans="1:12" x14ac:dyDescent="0.3">
      <c r="D366" s="227">
        <v>0</v>
      </c>
      <c r="E366" s="227">
        <f t="shared" si="12"/>
        <v>0</v>
      </c>
      <c r="F366" s="229" t="e">
        <f t="shared" si="13"/>
        <v>#DIV/0!</v>
      </c>
    </row>
    <row r="367" spans="1:12" x14ac:dyDescent="0.3">
      <c r="A367" s="22" t="s">
        <v>315</v>
      </c>
      <c r="B367" s="22" t="s">
        <v>1911</v>
      </c>
      <c r="C367" s="227">
        <v>7000</v>
      </c>
      <c r="D367" s="227">
        <v>5597.65</v>
      </c>
      <c r="E367" s="227">
        <f t="shared" si="12"/>
        <v>1402.3500000000004</v>
      </c>
      <c r="F367" s="229">
        <f t="shared" si="13"/>
        <v>0.25052477378900084</v>
      </c>
      <c r="G367" s="227">
        <v>1300</v>
      </c>
      <c r="H367" s="227">
        <v>4297.6499999999996</v>
      </c>
    </row>
    <row r="368" spans="1:12" x14ac:dyDescent="0.3">
      <c r="D368" s="227">
        <v>0</v>
      </c>
      <c r="E368" s="227">
        <f t="shared" si="12"/>
        <v>0</v>
      </c>
      <c r="F368" s="229" t="e">
        <f t="shared" si="13"/>
        <v>#DIV/0!</v>
      </c>
    </row>
    <row r="369" spans="1:8" x14ac:dyDescent="0.3">
      <c r="A369" s="22" t="s">
        <v>316</v>
      </c>
      <c r="B369" s="22" t="s">
        <v>984</v>
      </c>
      <c r="C369" s="227">
        <v>23000</v>
      </c>
      <c r="D369" s="227">
        <v>20250.34</v>
      </c>
      <c r="E369" s="227">
        <f t="shared" si="12"/>
        <v>2749.66</v>
      </c>
      <c r="F369" s="229">
        <f t="shared" si="13"/>
        <v>0.13578339919230986</v>
      </c>
      <c r="G369" s="227">
        <v>7000</v>
      </c>
      <c r="H369" s="227">
        <v>13250.34</v>
      </c>
    </row>
    <row r="370" spans="1:8" x14ac:dyDescent="0.3">
      <c r="A370" s="22" t="s">
        <v>5</v>
      </c>
      <c r="C370" s="227">
        <v>23000</v>
      </c>
      <c r="D370" s="227">
        <v>20250.34</v>
      </c>
      <c r="E370" s="227">
        <f t="shared" si="12"/>
        <v>2749.66</v>
      </c>
      <c r="F370" s="229">
        <f t="shared" si="13"/>
        <v>0.13578339919230986</v>
      </c>
      <c r="G370" s="227">
        <v>7000</v>
      </c>
      <c r="H370" s="227">
        <v>13250.34</v>
      </c>
    </row>
    <row r="371" spans="1:8" x14ac:dyDescent="0.3">
      <c r="D371" s="227">
        <v>0</v>
      </c>
      <c r="E371" s="227">
        <f t="shared" si="12"/>
        <v>0</v>
      </c>
      <c r="F371" s="229" t="e">
        <f t="shared" si="13"/>
        <v>#DIV/0!</v>
      </c>
    </row>
    <row r="372" spans="1:8" x14ac:dyDescent="0.3">
      <c r="A372" s="22" t="s">
        <v>317</v>
      </c>
      <c r="B372" s="22" t="s">
        <v>1910</v>
      </c>
      <c r="C372" s="227">
        <v>23000</v>
      </c>
      <c r="D372" s="227">
        <v>20250.34</v>
      </c>
      <c r="E372" s="227">
        <f t="shared" si="12"/>
        <v>2749.66</v>
      </c>
      <c r="F372" s="229">
        <f t="shared" si="13"/>
        <v>0.13578339919230986</v>
      </c>
      <c r="G372" s="227">
        <v>7000</v>
      </c>
      <c r="H372" s="227">
        <v>13250.34</v>
      </c>
    </row>
    <row r="373" spans="1:8" x14ac:dyDescent="0.3">
      <c r="D373" s="227">
        <v>0</v>
      </c>
      <c r="E373" s="227">
        <f t="shared" si="12"/>
        <v>0</v>
      </c>
      <c r="F373" s="229" t="e">
        <f t="shared" si="13"/>
        <v>#DIV/0!</v>
      </c>
    </row>
    <row r="374" spans="1:8" x14ac:dyDescent="0.3">
      <c r="A374" s="22" t="s">
        <v>2112</v>
      </c>
      <c r="B374" s="22" t="s">
        <v>2116</v>
      </c>
      <c r="C374" s="227">
        <v>15814</v>
      </c>
      <c r="D374" s="227">
        <v>15098</v>
      </c>
      <c r="E374" s="227">
        <f t="shared" si="12"/>
        <v>716</v>
      </c>
      <c r="F374" s="229">
        <f t="shared" si="13"/>
        <v>4.7423499801298188E-2</v>
      </c>
      <c r="G374" s="227">
        <v>15098</v>
      </c>
      <c r="H374" s="227">
        <v>0</v>
      </c>
    </row>
    <row r="375" spans="1:8" x14ac:dyDescent="0.3">
      <c r="A375" s="22" t="s">
        <v>2109</v>
      </c>
      <c r="B375" s="22" t="s">
        <v>2113</v>
      </c>
      <c r="C375" s="227">
        <v>15814</v>
      </c>
      <c r="D375" s="227">
        <v>15098</v>
      </c>
      <c r="E375" s="227">
        <f t="shared" si="12"/>
        <v>716</v>
      </c>
      <c r="F375" s="229">
        <f t="shared" si="13"/>
        <v>4.7423499801298188E-2</v>
      </c>
      <c r="G375" s="227">
        <v>15098</v>
      </c>
      <c r="H375" s="227">
        <v>0</v>
      </c>
    </row>
    <row r="376" spans="1:8" x14ac:dyDescent="0.3">
      <c r="D376" s="227">
        <v>0</v>
      </c>
      <c r="E376" s="227">
        <f t="shared" si="12"/>
        <v>0</v>
      </c>
      <c r="F376" s="229" t="e">
        <f t="shared" si="13"/>
        <v>#DIV/0!</v>
      </c>
    </row>
    <row r="377" spans="1:8" x14ac:dyDescent="0.3">
      <c r="D377" s="227">
        <v>0</v>
      </c>
      <c r="E377" s="227">
        <f t="shared" si="12"/>
        <v>0</v>
      </c>
      <c r="F377" s="229" t="e">
        <f t="shared" si="13"/>
        <v>#DIV/0!</v>
      </c>
    </row>
    <row r="378" spans="1:8" x14ac:dyDescent="0.3">
      <c r="A378" s="22" t="s">
        <v>318</v>
      </c>
      <c r="B378" s="22" t="s">
        <v>927</v>
      </c>
      <c r="C378" s="227">
        <v>350</v>
      </c>
      <c r="D378" s="227">
        <v>318</v>
      </c>
      <c r="E378" s="227">
        <f t="shared" si="12"/>
        <v>32</v>
      </c>
      <c r="F378" s="229">
        <f t="shared" si="13"/>
        <v>0.10062893081761007</v>
      </c>
      <c r="G378" s="227">
        <v>0</v>
      </c>
      <c r="H378" s="227">
        <v>318</v>
      </c>
    </row>
    <row r="379" spans="1:8" x14ac:dyDescent="0.3">
      <c r="A379" s="22" t="s">
        <v>319</v>
      </c>
      <c r="B379" s="22" t="s">
        <v>943</v>
      </c>
      <c r="C379" s="227">
        <v>0</v>
      </c>
      <c r="D379" s="227">
        <v>0</v>
      </c>
      <c r="E379" s="227">
        <f t="shared" si="12"/>
        <v>0</v>
      </c>
      <c r="F379" s="229" t="e">
        <f t="shared" si="13"/>
        <v>#DIV/0!</v>
      </c>
      <c r="G379" s="227">
        <v>0</v>
      </c>
      <c r="H379" s="227">
        <v>0</v>
      </c>
    </row>
    <row r="380" spans="1:8" x14ac:dyDescent="0.3">
      <c r="A380" s="22" t="s">
        <v>320</v>
      </c>
      <c r="B380" s="22" t="s">
        <v>945</v>
      </c>
      <c r="C380" s="227">
        <v>1000</v>
      </c>
      <c r="D380" s="227">
        <v>0</v>
      </c>
      <c r="E380" s="227">
        <f t="shared" si="12"/>
        <v>1000</v>
      </c>
      <c r="F380" s="229" t="e">
        <f t="shared" si="13"/>
        <v>#DIV/0!</v>
      </c>
      <c r="H380" s="227">
        <v>0</v>
      </c>
    </row>
    <row r="381" spans="1:8" x14ac:dyDescent="0.3">
      <c r="A381" s="22" t="s">
        <v>321</v>
      </c>
      <c r="B381" s="22" t="s">
        <v>1439</v>
      </c>
      <c r="C381" s="227">
        <v>500</v>
      </c>
      <c r="D381" s="227">
        <v>0</v>
      </c>
      <c r="E381" s="227">
        <f t="shared" si="12"/>
        <v>500</v>
      </c>
      <c r="F381" s="229" t="e">
        <f t="shared" si="13"/>
        <v>#DIV/0!</v>
      </c>
      <c r="H381" s="227">
        <v>0</v>
      </c>
    </row>
    <row r="382" spans="1:8" x14ac:dyDescent="0.3">
      <c r="A382" s="22" t="s">
        <v>340</v>
      </c>
      <c r="B382" s="22" t="s">
        <v>925</v>
      </c>
      <c r="C382" s="227">
        <v>6500</v>
      </c>
      <c r="D382" s="227">
        <v>5110.18</v>
      </c>
      <c r="E382" s="227">
        <f t="shared" si="12"/>
        <v>1389.8199999999997</v>
      </c>
      <c r="F382" s="229">
        <f t="shared" si="13"/>
        <v>0.27197085034186658</v>
      </c>
      <c r="H382" s="227">
        <v>5110.18</v>
      </c>
    </row>
    <row r="383" spans="1:8" x14ac:dyDescent="0.3">
      <c r="A383" s="22" t="s">
        <v>5</v>
      </c>
      <c r="C383" s="227">
        <v>8350</v>
      </c>
      <c r="D383" s="227">
        <v>5428.18</v>
      </c>
      <c r="E383" s="227">
        <f t="shared" si="12"/>
        <v>2921.8199999999997</v>
      </c>
      <c r="F383" s="229">
        <f t="shared" si="13"/>
        <v>0.53826881201433985</v>
      </c>
      <c r="G383" s="227">
        <v>0</v>
      </c>
      <c r="H383" s="227">
        <v>5428.18</v>
      </c>
    </row>
    <row r="384" spans="1:8" x14ac:dyDescent="0.3">
      <c r="D384" s="227">
        <v>0</v>
      </c>
      <c r="E384" s="227">
        <f t="shared" si="12"/>
        <v>0</v>
      </c>
      <c r="F384" s="229" t="e">
        <f t="shared" si="13"/>
        <v>#DIV/0!</v>
      </c>
      <c r="H384" s="227">
        <v>0</v>
      </c>
    </row>
    <row r="385" spans="1:12" x14ac:dyDescent="0.3">
      <c r="A385" s="22" t="s">
        <v>322</v>
      </c>
      <c r="B385" s="22" t="s">
        <v>1893</v>
      </c>
      <c r="C385" s="227">
        <v>8350</v>
      </c>
      <c r="D385" s="227">
        <v>5428.18</v>
      </c>
      <c r="E385" s="227">
        <f t="shared" si="12"/>
        <v>2921.8199999999997</v>
      </c>
      <c r="F385" s="229">
        <f t="shared" si="13"/>
        <v>0.53826881201433985</v>
      </c>
      <c r="G385" s="227">
        <v>0</v>
      </c>
      <c r="H385" s="227">
        <v>5428.18</v>
      </c>
    </row>
    <row r="386" spans="1:12" x14ac:dyDescent="0.3">
      <c r="D386" s="227">
        <v>0</v>
      </c>
      <c r="E386" s="227">
        <f t="shared" si="12"/>
        <v>0</v>
      </c>
      <c r="F386" s="229" t="e">
        <f t="shared" si="13"/>
        <v>#DIV/0!</v>
      </c>
    </row>
    <row r="387" spans="1:12" x14ac:dyDescent="0.3">
      <c r="A387" s="22" t="s">
        <v>323</v>
      </c>
      <c r="B387" s="22" t="s">
        <v>893</v>
      </c>
      <c r="C387" s="227">
        <v>8000</v>
      </c>
      <c r="D387" s="227">
        <v>7590.17</v>
      </c>
      <c r="E387" s="227">
        <f t="shared" si="12"/>
        <v>409.82999999999993</v>
      </c>
      <c r="F387" s="229">
        <f t="shared" si="13"/>
        <v>5.3994838060280589E-2</v>
      </c>
      <c r="G387" s="227">
        <v>1000</v>
      </c>
      <c r="H387" s="227">
        <v>6590.17</v>
      </c>
    </row>
    <row r="388" spans="1:12" x14ac:dyDescent="0.3">
      <c r="A388" s="22" t="s">
        <v>324</v>
      </c>
      <c r="B388" s="22" t="s">
        <v>895</v>
      </c>
      <c r="C388" s="227">
        <v>1000</v>
      </c>
      <c r="D388" s="227">
        <v>521.70000000000005</v>
      </c>
      <c r="E388" s="227">
        <f t="shared" si="12"/>
        <v>478.29999999999995</v>
      </c>
      <c r="F388" s="229">
        <f t="shared" si="13"/>
        <v>0.91681042744872521</v>
      </c>
      <c r="H388" s="227">
        <v>521.70000000000005</v>
      </c>
    </row>
    <row r="389" spans="1:12" x14ac:dyDescent="0.3">
      <c r="A389" s="22" t="s">
        <v>325</v>
      </c>
      <c r="B389" s="22" t="s">
        <v>897</v>
      </c>
      <c r="C389" s="227">
        <v>3000</v>
      </c>
      <c r="D389" s="227">
        <v>385</v>
      </c>
      <c r="E389" s="227">
        <f t="shared" si="12"/>
        <v>2615</v>
      </c>
      <c r="F389" s="229">
        <f t="shared" si="13"/>
        <v>6.7922077922077921</v>
      </c>
      <c r="H389" s="227">
        <v>385</v>
      </c>
    </row>
    <row r="390" spans="1:12" x14ac:dyDescent="0.3">
      <c r="A390" s="22" t="s">
        <v>326</v>
      </c>
      <c r="B390" s="22" t="s">
        <v>899</v>
      </c>
      <c r="C390" s="227">
        <v>5800</v>
      </c>
      <c r="D390" s="227">
        <v>5760.77</v>
      </c>
      <c r="E390" s="227">
        <f t="shared" si="12"/>
        <v>39.229999999999563</v>
      </c>
      <c r="F390" s="229">
        <f t="shared" si="13"/>
        <v>6.8098535438838141E-3</v>
      </c>
      <c r="G390" s="227">
        <v>2000</v>
      </c>
      <c r="H390" s="227">
        <v>3760.77</v>
      </c>
      <c r="J390" s="22">
        <v>5773.9000000000005</v>
      </c>
    </row>
    <row r="391" spans="1:12" x14ac:dyDescent="0.3">
      <c r="A391" s="22" t="s">
        <v>327</v>
      </c>
      <c r="B391" s="22" t="s">
        <v>1404</v>
      </c>
      <c r="C391" s="227">
        <v>1000</v>
      </c>
      <c r="D391" s="227">
        <v>1000</v>
      </c>
      <c r="E391" s="227">
        <f t="shared" si="12"/>
        <v>0</v>
      </c>
      <c r="F391" s="229">
        <f t="shared" si="13"/>
        <v>0</v>
      </c>
      <c r="G391" s="227">
        <v>1000</v>
      </c>
      <c r="H391" s="227">
        <v>0</v>
      </c>
    </row>
    <row r="392" spans="1:12" x14ac:dyDescent="0.3">
      <c r="A392" s="22" t="s">
        <v>328</v>
      </c>
      <c r="B392" s="22" t="s">
        <v>901</v>
      </c>
      <c r="C392" s="227">
        <v>2500</v>
      </c>
      <c r="D392" s="227">
        <v>2467.5</v>
      </c>
      <c r="E392" s="227">
        <f t="shared" ref="E392:E455" si="14">C392-D392</f>
        <v>32.5</v>
      </c>
      <c r="F392" s="229">
        <f t="shared" ref="F392:F455" si="15">E392/D392</f>
        <v>1.3171225937183385E-2</v>
      </c>
      <c r="H392" s="227">
        <v>2467.5</v>
      </c>
    </row>
    <row r="393" spans="1:12" x14ac:dyDescent="0.3">
      <c r="A393" s="22" t="s">
        <v>329</v>
      </c>
      <c r="B393" s="22" t="s">
        <v>903</v>
      </c>
      <c r="C393" s="227">
        <v>1040</v>
      </c>
      <c r="D393" s="227">
        <v>896.44</v>
      </c>
      <c r="E393" s="227">
        <f t="shared" si="14"/>
        <v>143.55999999999995</v>
      </c>
      <c r="F393" s="229">
        <f t="shared" si="15"/>
        <v>0.16014457186203196</v>
      </c>
      <c r="G393" s="227">
        <v>250</v>
      </c>
      <c r="H393" s="227">
        <v>646.44000000000005</v>
      </c>
      <c r="J393" s="22" t="s">
        <v>2142</v>
      </c>
      <c r="L393" s="22">
        <v>0.3</v>
      </c>
    </row>
    <row r="394" spans="1:12" x14ac:dyDescent="0.3">
      <c r="A394" s="22" t="s">
        <v>330</v>
      </c>
      <c r="B394" s="22" t="s">
        <v>905</v>
      </c>
      <c r="C394" s="227">
        <v>1432</v>
      </c>
      <c r="D394" s="227">
        <v>1193</v>
      </c>
      <c r="E394" s="227">
        <f t="shared" si="14"/>
        <v>239</v>
      </c>
      <c r="F394" s="229">
        <f t="shared" si="15"/>
        <v>0.20033528918692373</v>
      </c>
      <c r="G394" s="227">
        <v>515</v>
      </c>
      <c r="H394" s="227">
        <v>678</v>
      </c>
      <c r="J394" s="22">
        <v>1193</v>
      </c>
      <c r="K394" s="22">
        <v>515</v>
      </c>
    </row>
    <row r="395" spans="1:12" x14ac:dyDescent="0.3">
      <c r="A395" s="22" t="s">
        <v>331</v>
      </c>
      <c r="B395" s="22" t="s">
        <v>907</v>
      </c>
      <c r="C395" s="227">
        <v>2641</v>
      </c>
      <c r="D395" s="227">
        <v>2530.6799999999998</v>
      </c>
      <c r="E395" s="227">
        <f t="shared" si="14"/>
        <v>110.32000000000016</v>
      </c>
      <c r="F395" s="229">
        <f t="shared" si="15"/>
        <v>4.3593026380261496E-2</v>
      </c>
      <c r="G395" s="227">
        <v>-1184</v>
      </c>
      <c r="H395" s="227">
        <v>3714.68</v>
      </c>
      <c r="J395" s="22">
        <v>2531</v>
      </c>
      <c r="K395" s="22">
        <v>-1183.6799999999998</v>
      </c>
    </row>
    <row r="396" spans="1:12" x14ac:dyDescent="0.3">
      <c r="A396" s="22" t="s">
        <v>5</v>
      </c>
      <c r="C396" s="227">
        <v>26413</v>
      </c>
      <c r="D396" s="227">
        <v>22345.26</v>
      </c>
      <c r="E396" s="227">
        <f t="shared" si="14"/>
        <v>4067.7400000000016</v>
      </c>
      <c r="F396" s="229">
        <f t="shared" si="15"/>
        <v>0.18204039693429397</v>
      </c>
      <c r="G396" s="227">
        <v>3581</v>
      </c>
      <c r="H396" s="227">
        <v>18764.259999999998</v>
      </c>
    </row>
    <row r="397" spans="1:12" x14ac:dyDescent="0.3">
      <c r="D397" s="227">
        <v>0</v>
      </c>
      <c r="E397" s="227">
        <f t="shared" si="14"/>
        <v>0</v>
      </c>
      <c r="F397" s="229" t="e">
        <f t="shared" si="15"/>
        <v>#DIV/0!</v>
      </c>
    </row>
    <row r="398" spans="1:12" x14ac:dyDescent="0.3">
      <c r="A398" s="22" t="s">
        <v>332</v>
      </c>
      <c r="B398" s="22" t="s">
        <v>1886</v>
      </c>
      <c r="C398" s="227">
        <v>26413</v>
      </c>
      <c r="D398" s="227">
        <v>22345.26</v>
      </c>
      <c r="E398" s="227">
        <f t="shared" si="14"/>
        <v>4067.7400000000016</v>
      </c>
      <c r="F398" s="229">
        <f t="shared" si="15"/>
        <v>0.18204039693429397</v>
      </c>
      <c r="G398" s="227">
        <v>3581</v>
      </c>
      <c r="H398" s="227">
        <v>18764.259999999998</v>
      </c>
    </row>
    <row r="399" spans="1:12" x14ac:dyDescent="0.3">
      <c r="D399" s="227">
        <v>0</v>
      </c>
      <c r="E399" s="227">
        <f t="shared" si="14"/>
        <v>0</v>
      </c>
      <c r="F399" s="229" t="e">
        <f t="shared" si="15"/>
        <v>#DIV/0!</v>
      </c>
    </row>
    <row r="400" spans="1:12" x14ac:dyDescent="0.3">
      <c r="A400" s="22" t="s">
        <v>333</v>
      </c>
      <c r="B400" s="22" t="s">
        <v>911</v>
      </c>
      <c r="C400" s="227">
        <v>1120</v>
      </c>
      <c r="D400" s="227">
        <v>999</v>
      </c>
      <c r="E400" s="227">
        <f t="shared" si="14"/>
        <v>121</v>
      </c>
      <c r="F400" s="229">
        <f t="shared" si="15"/>
        <v>0.12112112112112113</v>
      </c>
      <c r="G400" s="227">
        <v>534</v>
      </c>
      <c r="H400" s="227">
        <v>465</v>
      </c>
      <c r="J400" s="22">
        <v>999</v>
      </c>
      <c r="K400" s="22">
        <v>534</v>
      </c>
    </row>
    <row r="401" spans="1:10" x14ac:dyDescent="0.3">
      <c r="A401" s="22" t="s">
        <v>334</v>
      </c>
      <c r="B401" s="22" t="s">
        <v>913</v>
      </c>
      <c r="C401" s="227">
        <v>5000</v>
      </c>
      <c r="D401" s="227">
        <v>5067.29</v>
      </c>
      <c r="E401" s="227">
        <f t="shared" si="14"/>
        <v>-67.289999999999964</v>
      </c>
      <c r="F401" s="229">
        <f t="shared" si="15"/>
        <v>-1.3279287350832489E-2</v>
      </c>
      <c r="H401" s="227">
        <v>5067.29</v>
      </c>
    </row>
    <row r="402" spans="1:10" x14ac:dyDescent="0.3">
      <c r="A402" s="22" t="s">
        <v>335</v>
      </c>
      <c r="B402" s="22" t="s">
        <v>915</v>
      </c>
      <c r="C402" s="227">
        <v>3000</v>
      </c>
      <c r="D402" s="227">
        <v>3368.51</v>
      </c>
      <c r="E402" s="227">
        <f t="shared" si="14"/>
        <v>-368.51000000000022</v>
      </c>
      <c r="F402" s="229">
        <f t="shared" si="15"/>
        <v>-0.10939851744539876</v>
      </c>
      <c r="H402" s="227">
        <v>3368.51</v>
      </c>
    </row>
    <row r="403" spans="1:10" x14ac:dyDescent="0.3">
      <c r="A403" s="22" t="s">
        <v>336</v>
      </c>
      <c r="B403" s="22" t="s">
        <v>917</v>
      </c>
      <c r="C403" s="227">
        <v>500</v>
      </c>
      <c r="D403" s="227">
        <v>0</v>
      </c>
      <c r="E403" s="227">
        <f t="shared" si="14"/>
        <v>500</v>
      </c>
      <c r="F403" s="229" t="e">
        <f t="shared" si="15"/>
        <v>#DIV/0!</v>
      </c>
      <c r="H403" s="227">
        <v>0</v>
      </c>
    </row>
    <row r="404" spans="1:10" x14ac:dyDescent="0.3">
      <c r="A404" s="22" t="s">
        <v>337</v>
      </c>
      <c r="B404" s="22" t="s">
        <v>919</v>
      </c>
      <c r="C404" s="227">
        <v>3000</v>
      </c>
      <c r="D404" s="227">
        <v>2021.9</v>
      </c>
      <c r="E404" s="227">
        <f t="shared" si="14"/>
        <v>978.09999999999991</v>
      </c>
      <c r="F404" s="229">
        <f t="shared" si="15"/>
        <v>0.48375290568277357</v>
      </c>
      <c r="G404" s="227">
        <v>400</v>
      </c>
      <c r="H404" s="227">
        <v>1621.9</v>
      </c>
      <c r="J404" s="22" t="s">
        <v>2143</v>
      </c>
    </row>
    <row r="405" spans="1:10" x14ac:dyDescent="0.3">
      <c r="A405" s="22" t="s">
        <v>338</v>
      </c>
      <c r="B405" s="22" t="s">
        <v>921</v>
      </c>
      <c r="C405" s="227">
        <v>1000</v>
      </c>
      <c r="D405" s="227">
        <v>951</v>
      </c>
      <c r="E405" s="227">
        <f t="shared" si="14"/>
        <v>49</v>
      </c>
      <c r="F405" s="229">
        <f t="shared" si="15"/>
        <v>5.152471083070452E-2</v>
      </c>
      <c r="H405" s="227">
        <v>951</v>
      </c>
    </row>
    <row r="406" spans="1:10" x14ac:dyDescent="0.3">
      <c r="A406" s="22" t="s">
        <v>339</v>
      </c>
      <c r="B406" s="22" t="s">
        <v>923</v>
      </c>
      <c r="C406" s="227">
        <v>1040</v>
      </c>
      <c r="D406" s="227">
        <v>887.99</v>
      </c>
      <c r="E406" s="227">
        <f t="shared" si="14"/>
        <v>152.01</v>
      </c>
      <c r="F406" s="229">
        <f t="shared" si="15"/>
        <v>0.1711843601842363</v>
      </c>
      <c r="G406" s="227">
        <v>250</v>
      </c>
      <c r="H406" s="227">
        <v>637.99</v>
      </c>
    </row>
    <row r="407" spans="1:10" x14ac:dyDescent="0.3">
      <c r="A407" s="22" t="s">
        <v>5</v>
      </c>
      <c r="C407" s="227">
        <v>14660</v>
      </c>
      <c r="D407" s="227">
        <v>13295.689999999999</v>
      </c>
      <c r="E407" s="227">
        <f t="shared" si="14"/>
        <v>1364.3100000000013</v>
      </c>
      <c r="F407" s="229">
        <f t="shared" si="15"/>
        <v>0.10261295201678149</v>
      </c>
      <c r="G407" s="227">
        <v>1184</v>
      </c>
      <c r="H407" s="227">
        <v>12111.689999999999</v>
      </c>
    </row>
    <row r="408" spans="1:10" x14ac:dyDescent="0.3">
      <c r="D408" s="227">
        <v>0</v>
      </c>
      <c r="E408" s="227">
        <f t="shared" si="14"/>
        <v>0</v>
      </c>
      <c r="F408" s="229" t="e">
        <f t="shared" si="15"/>
        <v>#DIV/0!</v>
      </c>
      <c r="H408" s="227">
        <v>0</v>
      </c>
    </row>
    <row r="409" spans="1:10" x14ac:dyDescent="0.3">
      <c r="A409" s="22" t="s">
        <v>341</v>
      </c>
      <c r="B409" s="22" t="s">
        <v>1888</v>
      </c>
      <c r="C409" s="227">
        <v>14660</v>
      </c>
      <c r="D409" s="227">
        <v>13295.689999999999</v>
      </c>
      <c r="E409" s="227">
        <f t="shared" si="14"/>
        <v>1364.3100000000013</v>
      </c>
      <c r="F409" s="229">
        <f t="shared" si="15"/>
        <v>0.10261295201678149</v>
      </c>
      <c r="G409" s="227">
        <v>1184</v>
      </c>
      <c r="H409" s="227">
        <v>12111.689999999999</v>
      </c>
    </row>
    <row r="410" spans="1:10" x14ac:dyDescent="0.3">
      <c r="D410" s="227">
        <v>0</v>
      </c>
      <c r="E410" s="227">
        <f t="shared" si="14"/>
        <v>0</v>
      </c>
      <c r="F410" s="229" t="e">
        <f t="shared" si="15"/>
        <v>#DIV/0!</v>
      </c>
    </row>
    <row r="411" spans="1:10" x14ac:dyDescent="0.3">
      <c r="A411" s="22" t="s">
        <v>2118</v>
      </c>
      <c r="B411" s="22" t="s">
        <v>1427</v>
      </c>
      <c r="C411" s="227">
        <v>2141</v>
      </c>
      <c r="D411" s="227">
        <v>2121.42</v>
      </c>
      <c r="E411" s="227">
        <f t="shared" si="14"/>
        <v>19.579999999999927</v>
      </c>
      <c r="F411" s="229">
        <f t="shared" si="15"/>
        <v>9.2296669212131154E-3</v>
      </c>
      <c r="G411" s="227">
        <v>2031</v>
      </c>
      <c r="H411" s="227">
        <v>90.42</v>
      </c>
    </row>
    <row r="412" spans="1:10" x14ac:dyDescent="0.3">
      <c r="A412" s="22" t="s">
        <v>342</v>
      </c>
      <c r="B412" s="22" t="s">
        <v>949</v>
      </c>
      <c r="D412" s="227">
        <v>0</v>
      </c>
      <c r="E412" s="227">
        <f t="shared" si="14"/>
        <v>0</v>
      </c>
      <c r="F412" s="229" t="e">
        <f t="shared" si="15"/>
        <v>#DIV/0!</v>
      </c>
    </row>
    <row r="413" spans="1:10" x14ac:dyDescent="0.3">
      <c r="A413" s="22" t="s">
        <v>5</v>
      </c>
      <c r="C413" s="227">
        <v>2141</v>
      </c>
      <c r="D413" s="227">
        <v>2121.42</v>
      </c>
      <c r="E413" s="227">
        <f t="shared" si="14"/>
        <v>19.579999999999927</v>
      </c>
      <c r="F413" s="229">
        <f t="shared" si="15"/>
        <v>9.2296669212131154E-3</v>
      </c>
      <c r="G413" s="227">
        <v>2031</v>
      </c>
      <c r="H413" s="227">
        <v>90.42</v>
      </c>
    </row>
    <row r="414" spans="1:10" x14ac:dyDescent="0.3">
      <c r="D414" s="227">
        <v>0</v>
      </c>
      <c r="E414" s="227">
        <f t="shared" si="14"/>
        <v>0</v>
      </c>
      <c r="F414" s="229" t="e">
        <f t="shared" si="15"/>
        <v>#DIV/0!</v>
      </c>
    </row>
    <row r="415" spans="1:10" x14ac:dyDescent="0.3">
      <c r="A415" s="22" t="s">
        <v>343</v>
      </c>
      <c r="B415" s="22" t="s">
        <v>1887</v>
      </c>
      <c r="C415" s="227">
        <v>2141</v>
      </c>
      <c r="D415" s="227">
        <v>2121.42</v>
      </c>
      <c r="E415" s="227">
        <f t="shared" si="14"/>
        <v>19.579999999999927</v>
      </c>
      <c r="F415" s="229">
        <f t="shared" si="15"/>
        <v>9.2296669212131154E-3</v>
      </c>
      <c r="G415" s="227">
        <v>2031</v>
      </c>
      <c r="H415" s="227">
        <v>90.42</v>
      </c>
    </row>
    <row r="416" spans="1:10" x14ac:dyDescent="0.3">
      <c r="D416" s="227">
        <v>0</v>
      </c>
      <c r="E416" s="227">
        <f t="shared" si="14"/>
        <v>0</v>
      </c>
      <c r="F416" s="229" t="e">
        <f t="shared" si="15"/>
        <v>#DIV/0!</v>
      </c>
    </row>
    <row r="417" spans="1:13" x14ac:dyDescent="0.3">
      <c r="A417" s="22" t="s">
        <v>2222</v>
      </c>
      <c r="B417" s="22" t="s">
        <v>909</v>
      </c>
      <c r="C417" s="227">
        <v>-18500</v>
      </c>
      <c r="D417" s="227">
        <v>-15627.12</v>
      </c>
      <c r="E417" s="227">
        <f t="shared" si="14"/>
        <v>-2872.8799999999992</v>
      </c>
      <c r="F417" s="229">
        <f t="shared" si="15"/>
        <v>0.18383937667337288</v>
      </c>
      <c r="G417" s="227">
        <v>-5300</v>
      </c>
      <c r="H417" s="227">
        <v>-10327.120000000001</v>
      </c>
      <c r="J417" s="22" t="s">
        <v>2221</v>
      </c>
      <c r="M417" s="22" t="s">
        <v>2227</v>
      </c>
    </row>
    <row r="418" spans="1:13" x14ac:dyDescent="0.3">
      <c r="A418" s="22" t="s">
        <v>5</v>
      </c>
      <c r="C418" s="227">
        <v>-18500</v>
      </c>
      <c r="D418" s="227">
        <v>-15627.12</v>
      </c>
      <c r="E418" s="227">
        <f t="shared" si="14"/>
        <v>-2872.8799999999992</v>
      </c>
      <c r="F418" s="229">
        <f t="shared" si="15"/>
        <v>0.18383937667337288</v>
      </c>
      <c r="G418" s="227">
        <v>-5300</v>
      </c>
      <c r="H418" s="227">
        <v>-10327.120000000001</v>
      </c>
      <c r="J418" s="22">
        <v>-16640</v>
      </c>
      <c r="K418" s="22">
        <v>-6312.8799999999992</v>
      </c>
    </row>
    <row r="419" spans="1:13" x14ac:dyDescent="0.3">
      <c r="D419" s="227">
        <v>0</v>
      </c>
      <c r="E419" s="227">
        <f t="shared" si="14"/>
        <v>0</v>
      </c>
      <c r="F419" s="229" t="e">
        <f t="shared" si="15"/>
        <v>#DIV/0!</v>
      </c>
    </row>
    <row r="420" spans="1:13" x14ac:dyDescent="0.3">
      <c r="A420" s="22" t="s">
        <v>344</v>
      </c>
      <c r="B420" s="22" t="s">
        <v>1889</v>
      </c>
      <c r="C420" s="227">
        <v>-18500</v>
      </c>
      <c r="D420" s="227">
        <v>-15627.12</v>
      </c>
      <c r="E420" s="227">
        <f t="shared" si="14"/>
        <v>-2872.8799999999992</v>
      </c>
      <c r="F420" s="229">
        <f t="shared" si="15"/>
        <v>0.18383937667337288</v>
      </c>
      <c r="G420" s="227">
        <v>-5300</v>
      </c>
      <c r="H420" s="227">
        <v>-10327.120000000001</v>
      </c>
    </row>
    <row r="421" spans="1:13" x14ac:dyDescent="0.3">
      <c r="D421" s="227">
        <v>0</v>
      </c>
      <c r="E421" s="227">
        <f t="shared" si="14"/>
        <v>0</v>
      </c>
      <c r="F421" s="229" t="e">
        <f t="shared" si="15"/>
        <v>#DIV/0!</v>
      </c>
    </row>
    <row r="422" spans="1:13" x14ac:dyDescent="0.3">
      <c r="A422" s="22" t="s">
        <v>345</v>
      </c>
      <c r="B422" s="22" t="s">
        <v>929</v>
      </c>
      <c r="C422" s="227">
        <v>0</v>
      </c>
      <c r="D422" s="227">
        <v>0</v>
      </c>
      <c r="E422" s="227">
        <f t="shared" si="14"/>
        <v>0</v>
      </c>
      <c r="F422" s="229" t="e">
        <f t="shared" si="15"/>
        <v>#DIV/0!</v>
      </c>
      <c r="G422" s="227">
        <v>0</v>
      </c>
      <c r="H422" s="227">
        <v>0</v>
      </c>
    </row>
    <row r="423" spans="1:13" x14ac:dyDescent="0.3">
      <c r="A423" s="22" t="s">
        <v>346</v>
      </c>
      <c r="B423" s="22" t="s">
        <v>931</v>
      </c>
      <c r="C423" s="227">
        <v>364</v>
      </c>
      <c r="D423" s="227">
        <v>303.25</v>
      </c>
      <c r="E423" s="227">
        <f t="shared" si="14"/>
        <v>60.75</v>
      </c>
      <c r="F423" s="229">
        <f t="shared" si="15"/>
        <v>0.20032976092333057</v>
      </c>
      <c r="G423" s="227">
        <v>121</v>
      </c>
      <c r="H423" s="227">
        <v>182.25</v>
      </c>
      <c r="J423" s="22">
        <v>303</v>
      </c>
      <c r="K423" s="22">
        <v>120.75</v>
      </c>
    </row>
    <row r="424" spans="1:13" x14ac:dyDescent="0.3">
      <c r="A424" s="22" t="s">
        <v>347</v>
      </c>
      <c r="B424" s="22" t="s">
        <v>1421</v>
      </c>
      <c r="C424" s="227">
        <v>0</v>
      </c>
      <c r="D424" s="227">
        <v>0</v>
      </c>
      <c r="E424" s="227">
        <f t="shared" si="14"/>
        <v>0</v>
      </c>
      <c r="F424" s="229" t="e">
        <f t="shared" si="15"/>
        <v>#DIV/0!</v>
      </c>
      <c r="G424" s="227">
        <v>0</v>
      </c>
      <c r="H424" s="227">
        <v>0</v>
      </c>
    </row>
    <row r="425" spans="1:13" x14ac:dyDescent="0.3">
      <c r="A425" s="22" t="s">
        <v>348</v>
      </c>
      <c r="B425" s="22" t="s">
        <v>933</v>
      </c>
      <c r="C425" s="227">
        <v>2200</v>
      </c>
      <c r="D425" s="227">
        <v>1566.3</v>
      </c>
      <c r="E425" s="227">
        <f t="shared" si="14"/>
        <v>633.70000000000005</v>
      </c>
      <c r="F425" s="229">
        <f t="shared" si="15"/>
        <v>0.40458405158654159</v>
      </c>
      <c r="G425" s="227">
        <v>450</v>
      </c>
      <c r="H425" s="227">
        <v>1116.3</v>
      </c>
    </row>
    <row r="426" spans="1:13" x14ac:dyDescent="0.3">
      <c r="A426" s="22" t="s">
        <v>349</v>
      </c>
      <c r="B426" s="22" t="s">
        <v>935</v>
      </c>
      <c r="C426" s="227">
        <v>2000</v>
      </c>
      <c r="D426" s="227">
        <v>558.75</v>
      </c>
      <c r="E426" s="227">
        <f t="shared" si="14"/>
        <v>1441.25</v>
      </c>
      <c r="F426" s="229">
        <f t="shared" si="15"/>
        <v>2.5794183445190155</v>
      </c>
      <c r="H426" s="227">
        <v>558.75</v>
      </c>
      <c r="I426" s="22" t="s">
        <v>2145</v>
      </c>
    </row>
    <row r="427" spans="1:13" x14ac:dyDescent="0.3">
      <c r="A427" s="22" t="s">
        <v>2144</v>
      </c>
      <c r="B427" s="22" t="s">
        <v>2146</v>
      </c>
      <c r="C427" s="227">
        <v>1040</v>
      </c>
      <c r="D427" s="227">
        <v>0</v>
      </c>
      <c r="E427" s="227">
        <f t="shared" si="14"/>
        <v>1040</v>
      </c>
      <c r="F427" s="229" t="e">
        <f t="shared" si="15"/>
        <v>#DIV/0!</v>
      </c>
      <c r="H427" s="227">
        <v>0</v>
      </c>
      <c r="J427" s="22" t="s">
        <v>2148</v>
      </c>
    </row>
    <row r="428" spans="1:13" x14ac:dyDescent="0.3">
      <c r="A428" s="22" t="s">
        <v>350</v>
      </c>
      <c r="B428" s="22" t="s">
        <v>937</v>
      </c>
      <c r="C428" s="227">
        <v>2600</v>
      </c>
      <c r="D428" s="227">
        <v>2614.9</v>
      </c>
      <c r="E428" s="227">
        <f t="shared" si="14"/>
        <v>-14.900000000000091</v>
      </c>
      <c r="F428" s="229">
        <f t="shared" si="15"/>
        <v>-5.6981146506558918E-3</v>
      </c>
      <c r="H428" s="227">
        <v>2614.9</v>
      </c>
    </row>
    <row r="429" spans="1:13" x14ac:dyDescent="0.3">
      <c r="A429" s="22" t="s">
        <v>5</v>
      </c>
      <c r="C429" s="227">
        <v>8204</v>
      </c>
      <c r="D429" s="227">
        <v>5043.2</v>
      </c>
      <c r="E429" s="227">
        <f t="shared" si="14"/>
        <v>3160.8</v>
      </c>
      <c r="F429" s="229">
        <f t="shared" si="15"/>
        <v>0.62674492385786806</v>
      </c>
      <c r="G429" s="227">
        <v>571</v>
      </c>
      <c r="H429" s="227">
        <v>4472.2</v>
      </c>
    </row>
    <row r="430" spans="1:13" x14ac:dyDescent="0.3">
      <c r="D430" s="227">
        <v>0</v>
      </c>
      <c r="E430" s="227">
        <f t="shared" si="14"/>
        <v>0</v>
      </c>
      <c r="F430" s="229" t="e">
        <f t="shared" si="15"/>
        <v>#DIV/0!</v>
      </c>
    </row>
    <row r="431" spans="1:13" x14ac:dyDescent="0.3">
      <c r="A431" s="22" t="s">
        <v>351</v>
      </c>
      <c r="B431" s="22" t="s">
        <v>1890</v>
      </c>
      <c r="C431" s="227">
        <v>8204</v>
      </c>
      <c r="D431" s="227">
        <v>5043.2</v>
      </c>
      <c r="E431" s="227">
        <f t="shared" si="14"/>
        <v>3160.8</v>
      </c>
      <c r="F431" s="229">
        <f t="shared" si="15"/>
        <v>0.62674492385786806</v>
      </c>
      <c r="G431" s="227">
        <v>571</v>
      </c>
      <c r="H431" s="227">
        <v>4472.2</v>
      </c>
    </row>
    <row r="432" spans="1:13" x14ac:dyDescent="0.3">
      <c r="D432" s="227">
        <v>0</v>
      </c>
      <c r="E432" s="227">
        <f t="shared" si="14"/>
        <v>0</v>
      </c>
      <c r="F432" s="229" t="e">
        <f t="shared" si="15"/>
        <v>#DIV/0!</v>
      </c>
    </row>
    <row r="433" spans="1:11" x14ac:dyDescent="0.3">
      <c r="A433" s="22" t="s">
        <v>352</v>
      </c>
      <c r="B433" s="22" t="s">
        <v>891</v>
      </c>
      <c r="C433" s="227">
        <v>0</v>
      </c>
      <c r="D433" s="227">
        <v>0</v>
      </c>
      <c r="E433" s="227">
        <f t="shared" si="14"/>
        <v>0</v>
      </c>
      <c r="F433" s="229" t="e">
        <f t="shared" si="15"/>
        <v>#DIV/0!</v>
      </c>
      <c r="G433" s="227">
        <v>0</v>
      </c>
      <c r="H433" s="227">
        <v>0</v>
      </c>
    </row>
    <row r="434" spans="1:11" x14ac:dyDescent="0.3">
      <c r="A434" s="22" t="s">
        <v>2054</v>
      </c>
      <c r="B434" s="22" t="s">
        <v>1355</v>
      </c>
      <c r="C434" s="227">
        <v>12000</v>
      </c>
      <c r="D434" s="227">
        <v>8782.869999999999</v>
      </c>
      <c r="E434" s="227">
        <f t="shared" si="14"/>
        <v>3217.130000000001</v>
      </c>
      <c r="F434" s="229">
        <f t="shared" si="15"/>
        <v>0.36629598297595223</v>
      </c>
      <c r="G434" s="227">
        <v>2000</v>
      </c>
      <c r="H434" s="227">
        <v>6782.87</v>
      </c>
      <c r="J434" s="22" t="s">
        <v>2149</v>
      </c>
    </row>
    <row r="435" spans="1:11" x14ac:dyDescent="0.3">
      <c r="A435" s="22" t="s">
        <v>5</v>
      </c>
      <c r="C435" s="227">
        <v>12000</v>
      </c>
      <c r="D435" s="227">
        <v>8782.869999999999</v>
      </c>
      <c r="E435" s="227">
        <f t="shared" si="14"/>
        <v>3217.130000000001</v>
      </c>
      <c r="F435" s="229">
        <f t="shared" si="15"/>
        <v>0.36629598297595223</v>
      </c>
      <c r="G435" s="227">
        <v>2000</v>
      </c>
      <c r="H435" s="227">
        <v>6782.87</v>
      </c>
    </row>
    <row r="436" spans="1:11" x14ac:dyDescent="0.3">
      <c r="D436" s="227">
        <v>0</v>
      </c>
      <c r="E436" s="227">
        <f t="shared" si="14"/>
        <v>0</v>
      </c>
      <c r="F436" s="229" t="e">
        <f t="shared" si="15"/>
        <v>#DIV/0!</v>
      </c>
    </row>
    <row r="437" spans="1:11" x14ac:dyDescent="0.3">
      <c r="A437" s="22" t="s">
        <v>353</v>
      </c>
      <c r="B437" s="22" t="s">
        <v>1891</v>
      </c>
      <c r="C437" s="227">
        <v>12000</v>
      </c>
      <c r="D437" s="227">
        <v>8782.869999999999</v>
      </c>
      <c r="E437" s="227">
        <f t="shared" si="14"/>
        <v>3217.130000000001</v>
      </c>
      <c r="F437" s="229">
        <f t="shared" si="15"/>
        <v>0.36629598297595223</v>
      </c>
      <c r="G437" s="227">
        <v>2000</v>
      </c>
      <c r="H437" s="227">
        <v>6782.87</v>
      </c>
    </row>
    <row r="438" spans="1:11" x14ac:dyDescent="0.3">
      <c r="D438" s="227">
        <v>0</v>
      </c>
      <c r="E438" s="227">
        <f t="shared" si="14"/>
        <v>0</v>
      </c>
      <c r="F438" s="229" t="e">
        <f t="shared" si="15"/>
        <v>#DIV/0!</v>
      </c>
    </row>
    <row r="439" spans="1:11" x14ac:dyDescent="0.3">
      <c r="A439" s="22" t="s">
        <v>354</v>
      </c>
      <c r="B439" s="22" t="s">
        <v>947</v>
      </c>
      <c r="C439" s="227">
        <v>62541</v>
      </c>
      <c r="D439" s="227">
        <v>59630.130000000005</v>
      </c>
      <c r="E439" s="227">
        <f t="shared" si="14"/>
        <v>2910.8699999999953</v>
      </c>
      <c r="F439" s="229">
        <f t="shared" si="15"/>
        <v>4.881542267306805E-2</v>
      </c>
      <c r="G439" s="227">
        <v>-54731</v>
      </c>
      <c r="H439" s="227">
        <v>114361.13</v>
      </c>
      <c r="J439" s="22">
        <v>59630</v>
      </c>
      <c r="K439" s="22">
        <v>-54731.130000000005</v>
      </c>
    </row>
    <row r="440" spans="1:11" x14ac:dyDescent="0.3">
      <c r="A440" s="22" t="s">
        <v>2290</v>
      </c>
      <c r="B440" s="22" t="s">
        <v>2114</v>
      </c>
      <c r="C440" s="227">
        <v>65447</v>
      </c>
      <c r="D440" s="227">
        <v>60106</v>
      </c>
      <c r="E440" s="227">
        <f t="shared" si="14"/>
        <v>5341</v>
      </c>
      <c r="F440" s="229">
        <f t="shared" si="15"/>
        <v>8.8859681229827306E-2</v>
      </c>
      <c r="G440" s="227">
        <v>60106</v>
      </c>
      <c r="H440" s="227">
        <v>0</v>
      </c>
      <c r="J440" s="22">
        <v>60106</v>
      </c>
      <c r="K440" s="22" t="s">
        <v>2291</v>
      </c>
    </row>
    <row r="441" spans="1:11" x14ac:dyDescent="0.3">
      <c r="A441" s="22" t="s">
        <v>355</v>
      </c>
      <c r="B441" s="22" t="s">
        <v>1449</v>
      </c>
      <c r="D441" s="227">
        <v>482.04</v>
      </c>
      <c r="E441" s="227">
        <f t="shared" si="14"/>
        <v>-482.04</v>
      </c>
      <c r="F441" s="229">
        <f t="shared" si="15"/>
        <v>-1</v>
      </c>
      <c r="H441" s="227">
        <v>482.04</v>
      </c>
    </row>
    <row r="442" spans="1:11" x14ac:dyDescent="0.3">
      <c r="A442" s="22" t="s">
        <v>356</v>
      </c>
      <c r="B442" s="22" t="s">
        <v>1451</v>
      </c>
      <c r="D442" s="227">
        <v>200.8</v>
      </c>
      <c r="E442" s="227">
        <f t="shared" si="14"/>
        <v>-200.8</v>
      </c>
      <c r="F442" s="229">
        <f t="shared" si="15"/>
        <v>-1</v>
      </c>
      <c r="H442" s="227">
        <v>200.8</v>
      </c>
    </row>
    <row r="443" spans="1:11" x14ac:dyDescent="0.3">
      <c r="A443" s="22" t="s">
        <v>5</v>
      </c>
      <c r="C443" s="227">
        <v>127988</v>
      </c>
      <c r="D443" s="227">
        <v>120418.97</v>
      </c>
      <c r="E443" s="227">
        <f t="shared" si="14"/>
        <v>7569.0299999999988</v>
      </c>
      <c r="F443" s="229">
        <f t="shared" si="15"/>
        <v>6.2855794232420353E-2</v>
      </c>
      <c r="G443" s="227">
        <v>5375</v>
      </c>
      <c r="H443" s="227">
        <v>115043.97</v>
      </c>
    </row>
    <row r="444" spans="1:11" x14ac:dyDescent="0.3">
      <c r="D444" s="227">
        <v>0</v>
      </c>
      <c r="E444" s="227">
        <f t="shared" si="14"/>
        <v>0</v>
      </c>
      <c r="F444" s="229" t="e">
        <f t="shared" si="15"/>
        <v>#DIV/0!</v>
      </c>
    </row>
    <row r="445" spans="1:11" x14ac:dyDescent="0.3">
      <c r="A445" s="22" t="s">
        <v>357</v>
      </c>
      <c r="B445" s="22" t="s">
        <v>1902</v>
      </c>
      <c r="C445" s="227">
        <v>127988</v>
      </c>
      <c r="D445" s="227">
        <v>120418.97</v>
      </c>
      <c r="E445" s="227">
        <f t="shared" si="14"/>
        <v>7569.0299999999988</v>
      </c>
      <c r="F445" s="229">
        <f t="shared" si="15"/>
        <v>6.2855794232420353E-2</v>
      </c>
      <c r="G445" s="227">
        <v>5375</v>
      </c>
      <c r="H445" s="227">
        <v>115043.97</v>
      </c>
    </row>
    <row r="446" spans="1:11" x14ac:dyDescent="0.3">
      <c r="D446" s="227">
        <v>0</v>
      </c>
      <c r="E446" s="227">
        <f t="shared" si="14"/>
        <v>0</v>
      </c>
      <c r="F446" s="229" t="e">
        <f t="shared" si="15"/>
        <v>#DIV/0!</v>
      </c>
    </row>
    <row r="447" spans="1:11" x14ac:dyDescent="0.3">
      <c r="A447" s="22" t="s">
        <v>358</v>
      </c>
      <c r="B447" s="22" t="s">
        <v>855</v>
      </c>
      <c r="C447" s="227">
        <v>1000</v>
      </c>
      <c r="D447" s="227">
        <v>296.24</v>
      </c>
      <c r="E447" s="227">
        <f t="shared" si="14"/>
        <v>703.76</v>
      </c>
      <c r="F447" s="229">
        <f t="shared" si="15"/>
        <v>2.3756413718606533</v>
      </c>
      <c r="H447" s="227">
        <v>296.24</v>
      </c>
    </row>
    <row r="448" spans="1:11" x14ac:dyDescent="0.3">
      <c r="A448" s="22" t="s">
        <v>359</v>
      </c>
      <c r="B448" s="22" t="s">
        <v>954</v>
      </c>
      <c r="C448" s="227">
        <v>2000</v>
      </c>
      <c r="D448" s="227">
        <v>1441.37</v>
      </c>
      <c r="E448" s="227">
        <f t="shared" si="14"/>
        <v>558.63000000000011</v>
      </c>
      <c r="F448" s="229">
        <f t="shared" si="15"/>
        <v>0.3875687713772315</v>
      </c>
      <c r="H448" s="227">
        <v>1441.37</v>
      </c>
    </row>
    <row r="449" spans="1:11" x14ac:dyDescent="0.3">
      <c r="A449" s="22" t="s">
        <v>5</v>
      </c>
      <c r="C449" s="227">
        <v>3000</v>
      </c>
      <c r="D449" s="227">
        <v>1737.61</v>
      </c>
      <c r="E449" s="227">
        <f t="shared" si="14"/>
        <v>1262.3900000000001</v>
      </c>
      <c r="F449" s="229">
        <f t="shared" si="15"/>
        <v>0.72650940084368765</v>
      </c>
      <c r="G449" s="227">
        <v>0</v>
      </c>
      <c r="H449" s="227">
        <v>1737.61</v>
      </c>
    </row>
    <row r="450" spans="1:11" x14ac:dyDescent="0.3">
      <c r="D450" s="227">
        <v>0</v>
      </c>
      <c r="E450" s="227">
        <f t="shared" si="14"/>
        <v>0</v>
      </c>
      <c r="F450" s="229" t="e">
        <f t="shared" si="15"/>
        <v>#DIV/0!</v>
      </c>
    </row>
    <row r="451" spans="1:11" x14ac:dyDescent="0.3">
      <c r="A451" s="22" t="s">
        <v>2055</v>
      </c>
      <c r="B451" s="22" t="s">
        <v>1903</v>
      </c>
      <c r="C451" s="227">
        <v>3000</v>
      </c>
      <c r="D451" s="227">
        <v>1737.61</v>
      </c>
      <c r="E451" s="227">
        <f t="shared" si="14"/>
        <v>1262.3900000000001</v>
      </c>
      <c r="F451" s="229">
        <f t="shared" si="15"/>
        <v>0.72650940084368765</v>
      </c>
      <c r="G451" s="227">
        <v>0</v>
      </c>
      <c r="H451" s="227">
        <v>1737.61</v>
      </c>
    </row>
    <row r="452" spans="1:11" x14ac:dyDescent="0.3">
      <c r="D452" s="227">
        <v>0</v>
      </c>
      <c r="E452" s="227">
        <f t="shared" si="14"/>
        <v>0</v>
      </c>
      <c r="F452" s="229" t="e">
        <f t="shared" si="15"/>
        <v>#DIV/0!</v>
      </c>
    </row>
    <row r="453" spans="1:11" x14ac:dyDescent="0.3">
      <c r="A453" s="22" t="s">
        <v>360</v>
      </c>
      <c r="B453" s="22" t="s">
        <v>953</v>
      </c>
      <c r="C453" s="227">
        <v>0</v>
      </c>
      <c r="D453" s="227">
        <v>0</v>
      </c>
      <c r="E453" s="227">
        <f t="shared" si="14"/>
        <v>0</v>
      </c>
      <c r="F453" s="229" t="e">
        <f t="shared" si="15"/>
        <v>#DIV/0!</v>
      </c>
      <c r="G453" s="227">
        <v>0</v>
      </c>
      <c r="H453" s="227">
        <v>0</v>
      </c>
    </row>
    <row r="454" spans="1:11" x14ac:dyDescent="0.3">
      <c r="A454" s="22" t="s">
        <v>5</v>
      </c>
      <c r="C454" s="227">
        <v>0</v>
      </c>
      <c r="D454" s="227">
        <v>0</v>
      </c>
      <c r="E454" s="227">
        <f t="shared" si="14"/>
        <v>0</v>
      </c>
      <c r="F454" s="229" t="e">
        <f t="shared" si="15"/>
        <v>#DIV/0!</v>
      </c>
      <c r="G454" s="227">
        <v>0</v>
      </c>
      <c r="H454" s="227">
        <v>0</v>
      </c>
    </row>
    <row r="455" spans="1:11" x14ac:dyDescent="0.3">
      <c r="D455" s="227">
        <v>0</v>
      </c>
      <c r="E455" s="227">
        <f t="shared" si="14"/>
        <v>0</v>
      </c>
      <c r="F455" s="229" t="e">
        <f t="shared" si="15"/>
        <v>#DIV/0!</v>
      </c>
    </row>
    <row r="456" spans="1:11" x14ac:dyDescent="0.3">
      <c r="A456" s="22" t="s">
        <v>361</v>
      </c>
      <c r="B456" s="22" t="s">
        <v>1904</v>
      </c>
      <c r="C456" s="227">
        <v>0</v>
      </c>
      <c r="D456" s="227">
        <v>0</v>
      </c>
      <c r="E456" s="227">
        <f t="shared" ref="E456:E519" si="16">C456-D456</f>
        <v>0</v>
      </c>
      <c r="F456" s="229" t="e">
        <f t="shared" ref="F456:F519" si="17">E456/D456</f>
        <v>#DIV/0!</v>
      </c>
      <c r="G456" s="227">
        <v>0</v>
      </c>
      <c r="H456" s="227">
        <v>0</v>
      </c>
    </row>
    <row r="457" spans="1:11" x14ac:dyDescent="0.3">
      <c r="D457" s="227">
        <v>0</v>
      </c>
      <c r="E457" s="227">
        <f t="shared" si="16"/>
        <v>0</v>
      </c>
      <c r="F457" s="229" t="e">
        <f t="shared" si="17"/>
        <v>#DIV/0!</v>
      </c>
    </row>
    <row r="458" spans="1:11" x14ac:dyDescent="0.3">
      <c r="A458" s="22" t="s">
        <v>362</v>
      </c>
      <c r="B458" s="22" t="s">
        <v>951</v>
      </c>
      <c r="D458" s="227">
        <v>0</v>
      </c>
      <c r="E458" s="227">
        <f t="shared" si="16"/>
        <v>0</v>
      </c>
      <c r="F458" s="229" t="e">
        <f t="shared" si="17"/>
        <v>#DIV/0!</v>
      </c>
      <c r="H458" s="227">
        <v>0</v>
      </c>
    </row>
    <row r="459" spans="1:11" x14ac:dyDescent="0.3">
      <c r="A459" s="22" t="s">
        <v>363</v>
      </c>
      <c r="B459" s="22" t="s">
        <v>958</v>
      </c>
      <c r="C459" s="227">
        <v>1000</v>
      </c>
      <c r="D459" s="227">
        <v>2236.66</v>
      </c>
      <c r="E459" s="227">
        <f t="shared" si="16"/>
        <v>-1236.6599999999999</v>
      </c>
      <c r="F459" s="229">
        <f t="shared" si="17"/>
        <v>-0.55290477765954593</v>
      </c>
      <c r="G459" s="227">
        <v>-8000</v>
      </c>
      <c r="H459" s="227">
        <v>10236.66</v>
      </c>
      <c r="J459" s="22" t="s">
        <v>2150</v>
      </c>
      <c r="K459" s="22" t="s">
        <v>2289</v>
      </c>
    </row>
    <row r="460" spans="1:11" x14ac:dyDescent="0.3">
      <c r="A460" s="22" t="s">
        <v>364</v>
      </c>
      <c r="B460" s="22" t="s">
        <v>960</v>
      </c>
      <c r="C460" s="227">
        <v>1000</v>
      </c>
      <c r="D460" s="227">
        <v>334.64</v>
      </c>
      <c r="E460" s="227">
        <f t="shared" si="16"/>
        <v>665.36</v>
      </c>
      <c r="F460" s="229">
        <f t="shared" si="17"/>
        <v>1.9882859191967488</v>
      </c>
      <c r="H460" s="227">
        <v>334.64</v>
      </c>
      <c r="J460" s="22" t="s">
        <v>2152</v>
      </c>
    </row>
    <row r="461" spans="1:11" x14ac:dyDescent="0.3">
      <c r="A461" s="22" t="s">
        <v>5</v>
      </c>
      <c r="C461" s="227">
        <v>2000</v>
      </c>
      <c r="D461" s="227">
        <v>2571.2999999999993</v>
      </c>
      <c r="E461" s="227">
        <f t="shared" si="16"/>
        <v>-571.29999999999927</v>
      </c>
      <c r="F461" s="229">
        <f t="shared" si="17"/>
        <v>-0.22218333138879146</v>
      </c>
      <c r="G461" s="227">
        <v>-8000</v>
      </c>
      <c r="H461" s="227">
        <v>10571.3</v>
      </c>
    </row>
    <row r="462" spans="1:11" x14ac:dyDescent="0.3">
      <c r="D462" s="227">
        <v>0</v>
      </c>
      <c r="E462" s="227">
        <f t="shared" si="16"/>
        <v>0</v>
      </c>
      <c r="F462" s="229" t="e">
        <f t="shared" si="17"/>
        <v>#DIV/0!</v>
      </c>
    </row>
    <row r="463" spans="1:11" x14ac:dyDescent="0.3">
      <c r="A463" s="22" t="s">
        <v>2151</v>
      </c>
      <c r="B463" s="22" t="s">
        <v>1905</v>
      </c>
      <c r="C463" s="227">
        <v>2000</v>
      </c>
      <c r="D463" s="227">
        <v>2571.2999999999993</v>
      </c>
      <c r="E463" s="227">
        <f t="shared" si="16"/>
        <v>-571.29999999999927</v>
      </c>
      <c r="F463" s="229">
        <f t="shared" si="17"/>
        <v>-0.22218333138879146</v>
      </c>
      <c r="G463" s="227">
        <v>-8000</v>
      </c>
      <c r="H463" s="227">
        <v>10571.3</v>
      </c>
    </row>
    <row r="464" spans="1:11" x14ac:dyDescent="0.3">
      <c r="D464" s="227">
        <v>0</v>
      </c>
      <c r="E464" s="227">
        <f t="shared" si="16"/>
        <v>0</v>
      </c>
      <c r="F464" s="229" t="e">
        <f t="shared" si="17"/>
        <v>#DIV/0!</v>
      </c>
    </row>
    <row r="465" spans="1:12" x14ac:dyDescent="0.3">
      <c r="A465" s="22" t="s">
        <v>365</v>
      </c>
      <c r="B465" s="22" t="s">
        <v>968</v>
      </c>
      <c r="C465" s="227">
        <v>30000</v>
      </c>
      <c r="D465" s="227">
        <v>28131.46</v>
      </c>
      <c r="E465" s="227">
        <f t="shared" si="16"/>
        <v>1868.5400000000009</v>
      </c>
      <c r="F465" s="229">
        <f t="shared" si="17"/>
        <v>6.6421721446380699E-2</v>
      </c>
      <c r="G465" s="227">
        <v>7000</v>
      </c>
      <c r="H465" s="227">
        <v>21131.46</v>
      </c>
    </row>
    <row r="466" spans="1:12" x14ac:dyDescent="0.3">
      <c r="A466" s="22" t="s">
        <v>5</v>
      </c>
      <c r="C466" s="227">
        <v>30000</v>
      </c>
      <c r="D466" s="227">
        <v>28131.46</v>
      </c>
      <c r="E466" s="227">
        <f t="shared" si="16"/>
        <v>1868.5400000000009</v>
      </c>
      <c r="F466" s="229">
        <f t="shared" si="17"/>
        <v>6.6421721446380699E-2</v>
      </c>
      <c r="G466" s="227">
        <v>7000</v>
      </c>
      <c r="H466" s="227">
        <v>21131.46</v>
      </c>
    </row>
    <row r="467" spans="1:12" x14ac:dyDescent="0.3">
      <c r="D467" s="227">
        <v>0</v>
      </c>
      <c r="E467" s="227">
        <f t="shared" si="16"/>
        <v>0</v>
      </c>
      <c r="F467" s="229" t="e">
        <f t="shared" si="17"/>
        <v>#DIV/0!</v>
      </c>
    </row>
    <row r="468" spans="1:12" x14ac:dyDescent="0.3">
      <c r="A468" s="22" t="s">
        <v>366</v>
      </c>
      <c r="B468" s="22" t="s">
        <v>1906</v>
      </c>
      <c r="C468" s="227">
        <v>30000</v>
      </c>
      <c r="D468" s="227">
        <v>28131.46</v>
      </c>
      <c r="E468" s="227">
        <f t="shared" si="16"/>
        <v>1868.5400000000009</v>
      </c>
      <c r="F468" s="229">
        <f t="shared" si="17"/>
        <v>6.6421721446380699E-2</v>
      </c>
      <c r="G468" s="227">
        <v>7000</v>
      </c>
      <c r="H468" s="227">
        <v>21131.46</v>
      </c>
    </row>
    <row r="469" spans="1:12" x14ac:dyDescent="0.3">
      <c r="D469" s="227">
        <v>0</v>
      </c>
      <c r="E469" s="227">
        <f t="shared" si="16"/>
        <v>0</v>
      </c>
      <c r="F469" s="229" t="e">
        <f t="shared" si="17"/>
        <v>#DIV/0!</v>
      </c>
    </row>
    <row r="470" spans="1:12" x14ac:dyDescent="0.3">
      <c r="A470" s="22" t="s">
        <v>367</v>
      </c>
      <c r="B470" s="22" t="s">
        <v>962</v>
      </c>
      <c r="C470" s="227">
        <v>500</v>
      </c>
      <c r="D470" s="227">
        <v>174.55</v>
      </c>
      <c r="E470" s="227">
        <f t="shared" si="16"/>
        <v>325.45</v>
      </c>
      <c r="F470" s="229">
        <f t="shared" si="17"/>
        <v>1.8645087367516469</v>
      </c>
      <c r="G470" s="227">
        <v>0</v>
      </c>
      <c r="H470" s="227">
        <v>174.55</v>
      </c>
    </row>
    <row r="471" spans="1:12" x14ac:dyDescent="0.3">
      <c r="A471" s="22" t="s">
        <v>368</v>
      </c>
      <c r="B471" s="22" t="s">
        <v>1484</v>
      </c>
      <c r="C471" s="227">
        <v>500</v>
      </c>
      <c r="D471" s="227">
        <v>100.25</v>
      </c>
      <c r="E471" s="227">
        <f t="shared" si="16"/>
        <v>399.75</v>
      </c>
      <c r="F471" s="229">
        <f t="shared" si="17"/>
        <v>3.9875311720698257</v>
      </c>
      <c r="G471" s="227">
        <v>0</v>
      </c>
      <c r="H471" s="227">
        <v>100.25</v>
      </c>
    </row>
    <row r="472" spans="1:12" x14ac:dyDescent="0.3">
      <c r="A472" s="22" t="s">
        <v>369</v>
      </c>
      <c r="B472" s="22" t="s">
        <v>966</v>
      </c>
      <c r="C472" s="227">
        <v>150</v>
      </c>
      <c r="D472" s="227">
        <v>121</v>
      </c>
      <c r="E472" s="227">
        <f t="shared" si="16"/>
        <v>29</v>
      </c>
      <c r="F472" s="229">
        <f t="shared" si="17"/>
        <v>0.23966942148760331</v>
      </c>
      <c r="G472" s="227">
        <v>0</v>
      </c>
      <c r="H472" s="227">
        <v>121</v>
      </c>
    </row>
    <row r="473" spans="1:12" x14ac:dyDescent="0.3">
      <c r="A473" s="22" t="s">
        <v>5</v>
      </c>
      <c r="C473" s="227">
        <v>1150</v>
      </c>
      <c r="D473" s="227">
        <v>395.8</v>
      </c>
      <c r="E473" s="227">
        <f t="shared" si="16"/>
        <v>754.2</v>
      </c>
      <c r="F473" s="229">
        <f t="shared" si="17"/>
        <v>1.9055078322385044</v>
      </c>
      <c r="G473" s="227">
        <v>0</v>
      </c>
      <c r="H473" s="227">
        <v>395.8</v>
      </c>
    </row>
    <row r="474" spans="1:12" x14ac:dyDescent="0.3">
      <c r="D474" s="227">
        <v>0</v>
      </c>
      <c r="E474" s="227">
        <f t="shared" si="16"/>
        <v>0</v>
      </c>
      <c r="F474" s="229" t="e">
        <f t="shared" si="17"/>
        <v>#DIV/0!</v>
      </c>
      <c r="H474" s="227">
        <v>0</v>
      </c>
    </row>
    <row r="475" spans="1:12" x14ac:dyDescent="0.3">
      <c r="A475" s="22" t="s">
        <v>370</v>
      </c>
      <c r="B475" s="22" t="s">
        <v>1907</v>
      </c>
      <c r="C475" s="227">
        <v>1150</v>
      </c>
      <c r="D475" s="227">
        <v>395.8</v>
      </c>
      <c r="E475" s="227">
        <f t="shared" si="16"/>
        <v>754.2</v>
      </c>
      <c r="F475" s="229">
        <f t="shared" si="17"/>
        <v>1.9055078322385044</v>
      </c>
      <c r="G475" s="227">
        <v>0</v>
      </c>
      <c r="H475" s="227">
        <v>395.8</v>
      </c>
    </row>
    <row r="476" spans="1:12" x14ac:dyDescent="0.3">
      <c r="D476" s="227">
        <v>0</v>
      </c>
      <c r="E476" s="227">
        <f t="shared" si="16"/>
        <v>0</v>
      </c>
      <c r="F476" s="229" t="e">
        <f t="shared" si="17"/>
        <v>#DIV/0!</v>
      </c>
      <c r="H476" s="227">
        <v>0</v>
      </c>
    </row>
    <row r="477" spans="1:12" x14ac:dyDescent="0.3">
      <c r="A477" s="22" t="s">
        <v>371</v>
      </c>
      <c r="B477" s="22" t="s">
        <v>956</v>
      </c>
      <c r="C477" s="227">
        <v>10000</v>
      </c>
      <c r="D477" s="227">
        <v>9802.17</v>
      </c>
      <c r="E477" s="227">
        <f t="shared" si="16"/>
        <v>197.82999999999993</v>
      </c>
      <c r="F477" s="229">
        <f t="shared" si="17"/>
        <v>2.0182265763601319E-2</v>
      </c>
      <c r="G477" s="227">
        <v>8000</v>
      </c>
      <c r="H477" s="227">
        <v>1802.17</v>
      </c>
      <c r="J477" s="22" t="s">
        <v>2153</v>
      </c>
      <c r="L477" s="22" t="s">
        <v>2252</v>
      </c>
    </row>
    <row r="478" spans="1:12" x14ac:dyDescent="0.3">
      <c r="A478" s="22" t="s">
        <v>372</v>
      </c>
      <c r="B478" s="22" t="s">
        <v>970</v>
      </c>
      <c r="C478" s="227">
        <v>22000</v>
      </c>
      <c r="D478" s="227">
        <v>22217.69</v>
      </c>
      <c r="E478" s="227">
        <f t="shared" si="16"/>
        <v>-217.68999999999869</v>
      </c>
      <c r="F478" s="229">
        <f t="shared" si="17"/>
        <v>-9.7980483119531649E-3</v>
      </c>
      <c r="H478" s="227">
        <v>22217.69</v>
      </c>
    </row>
    <row r="479" spans="1:12" x14ac:dyDescent="0.3">
      <c r="A479" s="22" t="s">
        <v>5</v>
      </c>
      <c r="C479" s="227">
        <v>32000</v>
      </c>
      <c r="D479" s="227">
        <v>32019.86</v>
      </c>
      <c r="E479" s="227">
        <f t="shared" si="16"/>
        <v>-19.860000000000582</v>
      </c>
      <c r="F479" s="229">
        <f t="shared" si="17"/>
        <v>-6.2024006351060193E-4</v>
      </c>
      <c r="G479" s="227">
        <v>8000</v>
      </c>
      <c r="H479" s="227">
        <v>24019.86</v>
      </c>
    </row>
    <row r="480" spans="1:12" x14ac:dyDescent="0.3">
      <c r="D480" s="227">
        <v>0</v>
      </c>
      <c r="E480" s="227">
        <f t="shared" si="16"/>
        <v>0</v>
      </c>
      <c r="F480" s="229" t="e">
        <f t="shared" si="17"/>
        <v>#DIV/0!</v>
      </c>
    </row>
    <row r="481" spans="1:10" x14ac:dyDescent="0.3">
      <c r="A481" s="22" t="s">
        <v>373</v>
      </c>
      <c r="B481" s="22" t="s">
        <v>1909</v>
      </c>
      <c r="C481" s="227">
        <v>32000</v>
      </c>
      <c r="D481" s="227">
        <v>32019.86</v>
      </c>
      <c r="E481" s="227">
        <f t="shared" si="16"/>
        <v>-19.860000000000582</v>
      </c>
      <c r="F481" s="229">
        <f t="shared" si="17"/>
        <v>-6.2024006351060193E-4</v>
      </c>
      <c r="G481" s="227">
        <v>8000</v>
      </c>
      <c r="H481" s="227">
        <v>24019.86</v>
      </c>
    </row>
    <row r="482" spans="1:10" x14ac:dyDescent="0.3">
      <c r="D482" s="227">
        <v>0</v>
      </c>
      <c r="E482" s="227">
        <f t="shared" si="16"/>
        <v>0</v>
      </c>
      <c r="F482" s="229" t="e">
        <f t="shared" si="17"/>
        <v>#DIV/0!</v>
      </c>
    </row>
    <row r="483" spans="1:10" x14ac:dyDescent="0.3">
      <c r="A483" s="22" t="s">
        <v>374</v>
      </c>
      <c r="B483" s="22" t="s">
        <v>1392</v>
      </c>
      <c r="C483" s="227">
        <v>27200</v>
      </c>
      <c r="D483" s="227">
        <v>26400</v>
      </c>
      <c r="E483" s="227">
        <f t="shared" si="16"/>
        <v>800</v>
      </c>
      <c r="F483" s="229">
        <f t="shared" si="17"/>
        <v>3.0303030303030304E-2</v>
      </c>
      <c r="G483" s="227">
        <v>0</v>
      </c>
      <c r="H483" s="227">
        <v>26400</v>
      </c>
      <c r="J483" s="22" t="s">
        <v>2154</v>
      </c>
    </row>
    <row r="484" spans="1:10" x14ac:dyDescent="0.3">
      <c r="A484" s="22" t="s">
        <v>8</v>
      </c>
      <c r="C484" s="227">
        <v>27200</v>
      </c>
      <c r="D484" s="227">
        <v>26400</v>
      </c>
      <c r="E484" s="227">
        <f t="shared" si="16"/>
        <v>800</v>
      </c>
      <c r="F484" s="229">
        <f t="shared" si="17"/>
        <v>3.0303030303030304E-2</v>
      </c>
      <c r="G484" s="227">
        <v>0</v>
      </c>
      <c r="H484" s="227">
        <v>26400</v>
      </c>
    </row>
    <row r="485" spans="1:10" x14ac:dyDescent="0.3">
      <c r="D485" s="227">
        <v>0</v>
      </c>
      <c r="E485" s="227">
        <f t="shared" si="16"/>
        <v>0</v>
      </c>
      <c r="F485" s="229" t="e">
        <f t="shared" si="17"/>
        <v>#DIV/0!</v>
      </c>
    </row>
    <row r="486" spans="1:10" x14ac:dyDescent="0.3">
      <c r="A486" s="22" t="s">
        <v>375</v>
      </c>
      <c r="B486" s="22" t="s">
        <v>1962</v>
      </c>
      <c r="C486" s="227">
        <v>27200</v>
      </c>
      <c r="D486" s="227">
        <v>26400</v>
      </c>
      <c r="E486" s="227">
        <f t="shared" si="16"/>
        <v>800</v>
      </c>
      <c r="F486" s="229">
        <f t="shared" si="17"/>
        <v>3.0303030303030304E-2</v>
      </c>
      <c r="G486" s="227">
        <v>0</v>
      </c>
      <c r="H486" s="227">
        <v>26400</v>
      </c>
    </row>
    <row r="487" spans="1:10" x14ac:dyDescent="0.3">
      <c r="D487" s="227">
        <v>0</v>
      </c>
      <c r="E487" s="227">
        <f t="shared" si="16"/>
        <v>0</v>
      </c>
      <c r="F487" s="229" t="e">
        <f t="shared" si="17"/>
        <v>#DIV/0!</v>
      </c>
    </row>
    <row r="488" spans="1:10" x14ac:dyDescent="0.3">
      <c r="A488" s="22" t="s">
        <v>376</v>
      </c>
      <c r="B488" s="22" t="s">
        <v>845</v>
      </c>
      <c r="C488" s="227">
        <v>6000</v>
      </c>
      <c r="D488" s="227">
        <v>2000</v>
      </c>
      <c r="E488" s="227">
        <f t="shared" si="16"/>
        <v>4000</v>
      </c>
      <c r="F488" s="229">
        <f t="shared" si="17"/>
        <v>2</v>
      </c>
      <c r="G488" s="227">
        <v>2000</v>
      </c>
      <c r="H488" s="227">
        <v>0</v>
      </c>
      <c r="J488" s="22" t="s">
        <v>2229</v>
      </c>
    </row>
    <row r="489" spans="1:10" x14ac:dyDescent="0.3">
      <c r="A489" s="22" t="s">
        <v>8</v>
      </c>
      <c r="C489" s="227">
        <v>6000</v>
      </c>
      <c r="D489" s="227">
        <v>2000</v>
      </c>
      <c r="E489" s="227">
        <f t="shared" si="16"/>
        <v>4000</v>
      </c>
      <c r="F489" s="229">
        <f t="shared" si="17"/>
        <v>2</v>
      </c>
      <c r="G489" s="227">
        <v>2000</v>
      </c>
      <c r="H489" s="227">
        <v>0</v>
      </c>
    </row>
    <row r="490" spans="1:10" x14ac:dyDescent="0.3">
      <c r="D490" s="227">
        <v>0</v>
      </c>
      <c r="E490" s="227">
        <f t="shared" si="16"/>
        <v>0</v>
      </c>
      <c r="F490" s="229" t="e">
        <f t="shared" si="17"/>
        <v>#DIV/0!</v>
      </c>
    </row>
    <row r="491" spans="1:10" x14ac:dyDescent="0.3">
      <c r="A491" s="22" t="s">
        <v>377</v>
      </c>
      <c r="B491" s="22" t="s">
        <v>1968</v>
      </c>
      <c r="C491" s="227">
        <v>6000</v>
      </c>
      <c r="D491" s="227">
        <v>2000</v>
      </c>
      <c r="E491" s="227">
        <f t="shared" si="16"/>
        <v>4000</v>
      </c>
      <c r="F491" s="229">
        <f t="shared" si="17"/>
        <v>2</v>
      </c>
      <c r="G491" s="227">
        <v>2000</v>
      </c>
      <c r="H491" s="227">
        <v>0</v>
      </c>
    </row>
    <row r="492" spans="1:10" x14ac:dyDescent="0.3">
      <c r="D492" s="227">
        <v>0</v>
      </c>
      <c r="E492" s="227">
        <f t="shared" si="16"/>
        <v>0</v>
      </c>
      <c r="F492" s="229" t="e">
        <f t="shared" si="17"/>
        <v>#DIV/0!</v>
      </c>
    </row>
    <row r="493" spans="1:10" x14ac:dyDescent="0.3">
      <c r="A493" s="22" t="s">
        <v>378</v>
      </c>
      <c r="B493" s="22" t="s">
        <v>606</v>
      </c>
      <c r="C493" s="227">
        <v>700</v>
      </c>
      <c r="D493" s="227">
        <v>672</v>
      </c>
      <c r="E493" s="227">
        <f t="shared" si="16"/>
        <v>28</v>
      </c>
      <c r="F493" s="229">
        <f t="shared" si="17"/>
        <v>4.1666666666666664E-2</v>
      </c>
      <c r="G493" s="227">
        <v>0</v>
      </c>
      <c r="H493" s="227">
        <v>672</v>
      </c>
    </row>
    <row r="494" spans="1:10" x14ac:dyDescent="0.3">
      <c r="A494" s="22" t="s">
        <v>8</v>
      </c>
      <c r="C494" s="227">
        <v>700</v>
      </c>
      <c r="D494" s="227">
        <v>672</v>
      </c>
      <c r="E494" s="227">
        <f t="shared" si="16"/>
        <v>28</v>
      </c>
      <c r="F494" s="229">
        <f t="shared" si="17"/>
        <v>4.1666666666666664E-2</v>
      </c>
      <c r="G494" s="227">
        <v>0</v>
      </c>
      <c r="H494" s="227">
        <v>672</v>
      </c>
    </row>
    <row r="495" spans="1:10" x14ac:dyDescent="0.3">
      <c r="D495" s="227">
        <v>0</v>
      </c>
      <c r="E495" s="227">
        <f t="shared" si="16"/>
        <v>0</v>
      </c>
      <c r="F495" s="229" t="e">
        <f t="shared" si="17"/>
        <v>#DIV/0!</v>
      </c>
    </row>
    <row r="496" spans="1:10" x14ac:dyDescent="0.3">
      <c r="A496" s="22" t="s">
        <v>379</v>
      </c>
      <c r="B496" s="22" t="s">
        <v>1969</v>
      </c>
      <c r="C496" s="227">
        <v>700</v>
      </c>
      <c r="D496" s="227">
        <v>672</v>
      </c>
      <c r="E496" s="227">
        <f t="shared" si="16"/>
        <v>28</v>
      </c>
      <c r="F496" s="229">
        <f t="shared" si="17"/>
        <v>4.1666666666666664E-2</v>
      </c>
      <c r="G496" s="227">
        <v>0</v>
      </c>
      <c r="H496" s="227">
        <v>672</v>
      </c>
    </row>
    <row r="497" spans="1:12" x14ac:dyDescent="0.3">
      <c r="D497" s="227">
        <v>0</v>
      </c>
      <c r="E497" s="227">
        <f t="shared" si="16"/>
        <v>0</v>
      </c>
      <c r="F497" s="229" t="e">
        <f t="shared" si="17"/>
        <v>#DIV/0!</v>
      </c>
    </row>
    <row r="498" spans="1:12" x14ac:dyDescent="0.3">
      <c r="A498" s="22" t="s">
        <v>380</v>
      </c>
      <c r="B498" s="22" t="s">
        <v>1082</v>
      </c>
      <c r="C498" s="227">
        <v>0</v>
      </c>
      <c r="D498" s="227">
        <v>0</v>
      </c>
      <c r="E498" s="227">
        <f t="shared" si="16"/>
        <v>0</v>
      </c>
      <c r="F498" s="229" t="e">
        <f t="shared" si="17"/>
        <v>#DIV/0!</v>
      </c>
      <c r="G498" s="227">
        <v>0</v>
      </c>
      <c r="H498" s="227">
        <v>0</v>
      </c>
    </row>
    <row r="499" spans="1:12" x14ac:dyDescent="0.3">
      <c r="A499" s="22" t="s">
        <v>381</v>
      </c>
      <c r="B499" s="22" t="s">
        <v>1730</v>
      </c>
      <c r="C499" s="227">
        <v>10000</v>
      </c>
      <c r="D499" s="227">
        <v>14478.85</v>
      </c>
      <c r="E499" s="227">
        <f t="shared" si="16"/>
        <v>-4478.8500000000004</v>
      </c>
      <c r="F499" s="229">
        <f t="shared" si="17"/>
        <v>-0.30933741284701483</v>
      </c>
      <c r="G499" s="227">
        <v>0</v>
      </c>
      <c r="H499" s="227">
        <v>14478.85</v>
      </c>
      <c r="J499" s="22" t="s">
        <v>2230</v>
      </c>
      <c r="L499" s="22" t="s">
        <v>2231</v>
      </c>
    </row>
    <row r="500" spans="1:12" x14ac:dyDescent="0.3">
      <c r="A500" s="22" t="s">
        <v>382</v>
      </c>
      <c r="B500" s="22" t="s">
        <v>1736</v>
      </c>
      <c r="C500" s="227">
        <v>3000</v>
      </c>
      <c r="D500" s="227">
        <v>2640.01</v>
      </c>
      <c r="E500" s="227">
        <f t="shared" si="16"/>
        <v>359.98999999999978</v>
      </c>
      <c r="F500" s="229">
        <f t="shared" si="17"/>
        <v>0.13635933197222727</v>
      </c>
      <c r="G500" s="227">
        <v>0</v>
      </c>
      <c r="H500" s="227">
        <v>2640.01</v>
      </c>
    </row>
    <row r="501" spans="1:12" x14ac:dyDescent="0.3">
      <c r="A501" s="22" t="s">
        <v>383</v>
      </c>
      <c r="B501" s="22" t="s">
        <v>1738</v>
      </c>
      <c r="C501" s="227">
        <v>300</v>
      </c>
      <c r="D501" s="227">
        <v>292.35000000000002</v>
      </c>
      <c r="E501" s="227">
        <f t="shared" si="16"/>
        <v>7.6499999999999773</v>
      </c>
      <c r="F501" s="229">
        <f t="shared" si="17"/>
        <v>2.6167265264237991E-2</v>
      </c>
      <c r="H501" s="227">
        <v>292.35000000000002</v>
      </c>
    </row>
    <row r="502" spans="1:12" x14ac:dyDescent="0.3">
      <c r="A502" s="22" t="s">
        <v>8</v>
      </c>
      <c r="C502" s="227">
        <v>13300</v>
      </c>
      <c r="D502" s="227">
        <v>17411.21</v>
      </c>
      <c r="E502" s="227">
        <f t="shared" si="16"/>
        <v>-4111.2099999999991</v>
      </c>
      <c r="F502" s="229">
        <f t="shared" si="17"/>
        <v>-0.23612431301443146</v>
      </c>
      <c r="G502" s="227">
        <v>0</v>
      </c>
      <c r="H502" s="227">
        <v>17411.21</v>
      </c>
    </row>
    <row r="503" spans="1:12" x14ac:dyDescent="0.3">
      <c r="D503" s="227">
        <v>0</v>
      </c>
      <c r="E503" s="227">
        <f t="shared" si="16"/>
        <v>0</v>
      </c>
      <c r="F503" s="229" t="e">
        <f t="shared" si="17"/>
        <v>#DIV/0!</v>
      </c>
    </row>
    <row r="504" spans="1:12" x14ac:dyDescent="0.3">
      <c r="A504" s="22" t="s">
        <v>384</v>
      </c>
      <c r="B504" s="22" t="s">
        <v>1964</v>
      </c>
      <c r="C504" s="227">
        <v>13300</v>
      </c>
      <c r="D504" s="227">
        <v>17411.21</v>
      </c>
      <c r="E504" s="227">
        <f t="shared" si="16"/>
        <v>-4111.2099999999991</v>
      </c>
      <c r="F504" s="229">
        <f t="shared" si="17"/>
        <v>-0.23612431301443146</v>
      </c>
      <c r="G504" s="227">
        <v>0</v>
      </c>
      <c r="H504" s="227">
        <v>17411.21</v>
      </c>
    </row>
    <row r="505" spans="1:12" x14ac:dyDescent="0.3">
      <c r="D505" s="227">
        <v>0</v>
      </c>
      <c r="E505" s="227">
        <f t="shared" si="16"/>
        <v>0</v>
      </c>
      <c r="F505" s="229" t="e">
        <f t="shared" si="17"/>
        <v>#DIV/0!</v>
      </c>
    </row>
    <row r="506" spans="1:12" x14ac:dyDescent="0.3">
      <c r="A506" s="22" t="s">
        <v>385</v>
      </c>
      <c r="B506" s="22" t="s">
        <v>1086</v>
      </c>
      <c r="C506" s="227">
        <v>41959</v>
      </c>
      <c r="D506" s="227">
        <v>45535.24</v>
      </c>
      <c r="E506" s="227">
        <f t="shared" si="16"/>
        <v>-3576.239999999998</v>
      </c>
      <c r="F506" s="229">
        <f t="shared" si="17"/>
        <v>-7.8537853319758461E-2</v>
      </c>
      <c r="G506" s="227">
        <v>3400</v>
      </c>
      <c r="H506" s="227">
        <v>42135.24</v>
      </c>
      <c r="J506" s="22" t="s">
        <v>2156</v>
      </c>
    </row>
    <row r="507" spans="1:12" x14ac:dyDescent="0.3">
      <c r="A507" s="22" t="s">
        <v>8</v>
      </c>
      <c r="C507" s="227">
        <v>41959</v>
      </c>
      <c r="D507" s="227">
        <v>45535.24</v>
      </c>
      <c r="E507" s="227">
        <f t="shared" si="16"/>
        <v>-3576.239999999998</v>
      </c>
      <c r="F507" s="229">
        <f t="shared" si="17"/>
        <v>-7.8537853319758461E-2</v>
      </c>
      <c r="G507" s="227">
        <v>3400</v>
      </c>
      <c r="H507" s="227">
        <v>42135.24</v>
      </c>
    </row>
    <row r="508" spans="1:12" x14ac:dyDescent="0.3">
      <c r="D508" s="227">
        <v>0</v>
      </c>
      <c r="E508" s="227">
        <f t="shared" si="16"/>
        <v>0</v>
      </c>
      <c r="F508" s="229" t="e">
        <f t="shared" si="17"/>
        <v>#DIV/0!</v>
      </c>
    </row>
    <row r="509" spans="1:12" x14ac:dyDescent="0.3">
      <c r="A509" s="22" t="s">
        <v>386</v>
      </c>
      <c r="B509" s="22" t="s">
        <v>1970</v>
      </c>
      <c r="C509" s="227">
        <v>41959</v>
      </c>
      <c r="D509" s="227">
        <v>45535.24</v>
      </c>
      <c r="E509" s="227">
        <f t="shared" si="16"/>
        <v>-3576.239999999998</v>
      </c>
      <c r="F509" s="229">
        <f t="shared" si="17"/>
        <v>-7.8537853319758461E-2</v>
      </c>
      <c r="G509" s="227">
        <v>3400</v>
      </c>
      <c r="H509" s="227">
        <v>42135.24</v>
      </c>
    </row>
    <row r="510" spans="1:12" x14ac:dyDescent="0.3">
      <c r="D510" s="227">
        <v>0</v>
      </c>
      <c r="E510" s="227">
        <f t="shared" si="16"/>
        <v>0</v>
      </c>
      <c r="F510" s="229" t="e">
        <f t="shared" si="17"/>
        <v>#DIV/0!</v>
      </c>
    </row>
    <row r="511" spans="1:12" x14ac:dyDescent="0.3">
      <c r="A511" s="22" t="s">
        <v>387</v>
      </c>
      <c r="B511" s="22" t="s">
        <v>612</v>
      </c>
      <c r="C511" s="227">
        <v>3131</v>
      </c>
      <c r="D511" s="227">
        <v>2609.44</v>
      </c>
      <c r="E511" s="227">
        <f t="shared" si="16"/>
        <v>521.55999999999995</v>
      </c>
      <c r="F511" s="229">
        <f t="shared" si="17"/>
        <v>0.19987430253234409</v>
      </c>
      <c r="G511" s="227">
        <v>756</v>
      </c>
      <c r="H511" s="227">
        <v>1853.44</v>
      </c>
      <c r="J511" s="22">
        <v>2609</v>
      </c>
      <c r="K511" s="22">
        <v>755.56</v>
      </c>
    </row>
    <row r="512" spans="1:12" x14ac:dyDescent="0.3">
      <c r="A512" s="22" t="s">
        <v>8</v>
      </c>
      <c r="C512" s="227">
        <v>3131</v>
      </c>
      <c r="D512" s="227">
        <v>2609.44</v>
      </c>
      <c r="E512" s="227">
        <f t="shared" si="16"/>
        <v>521.55999999999995</v>
      </c>
      <c r="F512" s="229">
        <f t="shared" si="17"/>
        <v>0.19987430253234409</v>
      </c>
      <c r="G512" s="227">
        <v>756</v>
      </c>
      <c r="H512" s="227">
        <v>1853.44</v>
      </c>
    </row>
    <row r="513" spans="1:8" x14ac:dyDescent="0.3">
      <c r="D513" s="227">
        <v>0</v>
      </c>
      <c r="E513" s="227">
        <f t="shared" si="16"/>
        <v>0</v>
      </c>
      <c r="F513" s="229" t="e">
        <f t="shared" si="17"/>
        <v>#DIV/0!</v>
      </c>
    </row>
    <row r="514" spans="1:8" x14ac:dyDescent="0.3">
      <c r="A514" s="22" t="s">
        <v>388</v>
      </c>
      <c r="B514" s="22" t="s">
        <v>1966</v>
      </c>
      <c r="C514" s="227">
        <v>3131</v>
      </c>
      <c r="D514" s="227">
        <v>2609.44</v>
      </c>
      <c r="E514" s="227">
        <f t="shared" si="16"/>
        <v>521.55999999999995</v>
      </c>
      <c r="F514" s="229">
        <f t="shared" si="17"/>
        <v>0.19987430253234409</v>
      </c>
      <c r="G514" s="227">
        <v>756</v>
      </c>
      <c r="H514" s="227">
        <v>1853.44</v>
      </c>
    </row>
    <row r="515" spans="1:8" x14ac:dyDescent="0.3">
      <c r="D515" s="227">
        <v>0</v>
      </c>
      <c r="E515" s="227">
        <f t="shared" si="16"/>
        <v>0</v>
      </c>
      <c r="F515" s="229" t="e">
        <f t="shared" si="17"/>
        <v>#DIV/0!</v>
      </c>
    </row>
    <row r="516" spans="1:8" x14ac:dyDescent="0.3">
      <c r="A516" s="22" t="s">
        <v>389</v>
      </c>
      <c r="B516" s="22" t="s">
        <v>1721</v>
      </c>
      <c r="C516" s="227">
        <v>400</v>
      </c>
      <c r="D516" s="227">
        <v>309.62</v>
      </c>
      <c r="E516" s="227">
        <f t="shared" si="16"/>
        <v>90.38</v>
      </c>
      <c r="F516" s="229">
        <f t="shared" si="17"/>
        <v>0.29190620760932756</v>
      </c>
      <c r="G516" s="227">
        <v>30</v>
      </c>
      <c r="H516" s="227">
        <v>279.62</v>
      </c>
    </row>
    <row r="517" spans="1:8" x14ac:dyDescent="0.3">
      <c r="A517" s="22" t="s">
        <v>8</v>
      </c>
      <c r="C517" s="227">
        <v>400</v>
      </c>
      <c r="D517" s="227">
        <v>309.62</v>
      </c>
      <c r="E517" s="227">
        <f t="shared" si="16"/>
        <v>90.38</v>
      </c>
      <c r="F517" s="229">
        <f t="shared" si="17"/>
        <v>0.29190620760932756</v>
      </c>
      <c r="G517" s="227">
        <v>30</v>
      </c>
      <c r="H517" s="227">
        <v>279.62</v>
      </c>
    </row>
    <row r="518" spans="1:8" x14ac:dyDescent="0.3">
      <c r="D518" s="227">
        <v>0</v>
      </c>
      <c r="E518" s="227">
        <f t="shared" si="16"/>
        <v>0</v>
      </c>
      <c r="F518" s="229" t="e">
        <f t="shared" si="17"/>
        <v>#DIV/0!</v>
      </c>
    </row>
    <row r="519" spans="1:8" x14ac:dyDescent="0.3">
      <c r="A519" s="22" t="s">
        <v>390</v>
      </c>
      <c r="B519" s="22" t="s">
        <v>1967</v>
      </c>
      <c r="C519" s="227">
        <v>400</v>
      </c>
      <c r="D519" s="227">
        <v>309.62</v>
      </c>
      <c r="E519" s="227">
        <f t="shared" si="16"/>
        <v>90.38</v>
      </c>
      <c r="F519" s="229">
        <f t="shared" si="17"/>
        <v>0.29190620760932756</v>
      </c>
      <c r="G519" s="227">
        <v>30</v>
      </c>
      <c r="H519" s="227">
        <v>279.62</v>
      </c>
    </row>
    <row r="520" spans="1:8" x14ac:dyDescent="0.3">
      <c r="D520" s="227">
        <v>0</v>
      </c>
      <c r="E520" s="227">
        <f t="shared" ref="E520:E583" si="18">C520-D520</f>
        <v>0</v>
      </c>
      <c r="F520" s="229" t="e">
        <f t="shared" ref="F520:F583" si="19">E520/D520</f>
        <v>#DIV/0!</v>
      </c>
    </row>
    <row r="521" spans="1:8" x14ac:dyDescent="0.3">
      <c r="A521" s="22" t="s">
        <v>391</v>
      </c>
      <c r="B521" s="22" t="s">
        <v>588</v>
      </c>
      <c r="C521" s="227">
        <v>500</v>
      </c>
      <c r="D521" s="227">
        <v>500</v>
      </c>
      <c r="E521" s="227">
        <f t="shared" si="18"/>
        <v>0</v>
      </c>
      <c r="F521" s="229">
        <f t="shared" si="19"/>
        <v>0</v>
      </c>
      <c r="G521" s="227">
        <v>500</v>
      </c>
      <c r="H521" s="227">
        <v>0</v>
      </c>
    </row>
    <row r="522" spans="1:8" x14ac:dyDescent="0.3">
      <c r="A522" s="22" t="s">
        <v>8</v>
      </c>
      <c r="C522" s="227">
        <v>500</v>
      </c>
      <c r="D522" s="227">
        <v>500</v>
      </c>
      <c r="E522" s="227">
        <f t="shared" si="18"/>
        <v>0</v>
      </c>
      <c r="F522" s="229">
        <f t="shared" si="19"/>
        <v>0</v>
      </c>
      <c r="G522" s="227">
        <v>500</v>
      </c>
      <c r="H522" s="227">
        <v>0</v>
      </c>
    </row>
    <row r="523" spans="1:8" x14ac:dyDescent="0.3">
      <c r="D523" s="227">
        <v>0</v>
      </c>
      <c r="E523" s="227">
        <f t="shared" si="18"/>
        <v>0</v>
      </c>
      <c r="F523" s="229" t="e">
        <f t="shared" si="19"/>
        <v>#DIV/0!</v>
      </c>
    </row>
    <row r="524" spans="1:8" x14ac:dyDescent="0.3">
      <c r="A524" s="22" t="s">
        <v>392</v>
      </c>
      <c r="B524" s="22" t="s">
        <v>1965</v>
      </c>
      <c r="C524" s="227">
        <v>500</v>
      </c>
      <c r="D524" s="227">
        <v>500</v>
      </c>
      <c r="E524" s="227">
        <f t="shared" si="18"/>
        <v>0</v>
      </c>
      <c r="F524" s="229">
        <f t="shared" si="19"/>
        <v>0</v>
      </c>
      <c r="G524" s="227">
        <v>500</v>
      </c>
      <c r="H524" s="227">
        <v>0</v>
      </c>
    </row>
    <row r="525" spans="1:8" x14ac:dyDescent="0.3">
      <c r="D525" s="227">
        <v>0</v>
      </c>
      <c r="E525" s="227">
        <f t="shared" si="18"/>
        <v>0</v>
      </c>
      <c r="F525" s="229" t="e">
        <f t="shared" si="19"/>
        <v>#DIV/0!</v>
      </c>
    </row>
    <row r="526" spans="1:8" x14ac:dyDescent="0.3">
      <c r="A526" s="22" t="s">
        <v>393</v>
      </c>
      <c r="B526" s="22" t="s">
        <v>582</v>
      </c>
      <c r="C526" s="227">
        <v>9500</v>
      </c>
      <c r="D526" s="227">
        <v>9016.43</v>
      </c>
      <c r="E526" s="227">
        <f t="shared" si="18"/>
        <v>483.56999999999971</v>
      </c>
      <c r="F526" s="229">
        <f t="shared" si="19"/>
        <v>5.3632091637155689E-2</v>
      </c>
      <c r="G526" s="227">
        <v>1000</v>
      </c>
      <c r="H526" s="227">
        <v>8016.43</v>
      </c>
    </row>
    <row r="527" spans="1:8" x14ac:dyDescent="0.3">
      <c r="A527" s="22" t="s">
        <v>8</v>
      </c>
      <c r="C527" s="227">
        <v>9500</v>
      </c>
      <c r="D527" s="227">
        <v>9016.43</v>
      </c>
      <c r="E527" s="227">
        <f t="shared" si="18"/>
        <v>483.56999999999971</v>
      </c>
      <c r="F527" s="229">
        <f t="shared" si="19"/>
        <v>5.3632091637155689E-2</v>
      </c>
      <c r="G527" s="227">
        <v>1000</v>
      </c>
      <c r="H527" s="227">
        <v>8016.43</v>
      </c>
    </row>
    <row r="528" spans="1:8" x14ac:dyDescent="0.3">
      <c r="D528" s="227">
        <v>0</v>
      </c>
      <c r="E528" s="227">
        <f t="shared" si="18"/>
        <v>0</v>
      </c>
      <c r="F528" s="229" t="e">
        <f t="shared" si="19"/>
        <v>#DIV/0!</v>
      </c>
    </row>
    <row r="529" spans="1:12" x14ac:dyDescent="0.3">
      <c r="A529" s="22" t="s">
        <v>394</v>
      </c>
      <c r="B529" s="22" t="s">
        <v>1963</v>
      </c>
      <c r="C529" s="227">
        <v>9500</v>
      </c>
      <c r="D529" s="227">
        <v>9016.43</v>
      </c>
      <c r="E529" s="227">
        <f t="shared" si="18"/>
        <v>483.56999999999971</v>
      </c>
      <c r="F529" s="229">
        <f t="shared" si="19"/>
        <v>5.3632091637155689E-2</v>
      </c>
      <c r="G529" s="227">
        <v>1000</v>
      </c>
      <c r="H529" s="227">
        <v>8016.43</v>
      </c>
    </row>
    <row r="530" spans="1:12" x14ac:dyDescent="0.3">
      <c r="D530" s="227">
        <v>0</v>
      </c>
      <c r="E530" s="227">
        <f t="shared" si="18"/>
        <v>0</v>
      </c>
      <c r="F530" s="229" t="e">
        <f t="shared" si="19"/>
        <v>#DIV/0!</v>
      </c>
    </row>
    <row r="531" spans="1:12" x14ac:dyDescent="0.3">
      <c r="A531" s="22" t="s">
        <v>395</v>
      </c>
      <c r="B531" s="22" t="s">
        <v>622</v>
      </c>
      <c r="C531" s="227">
        <v>2000</v>
      </c>
      <c r="D531" s="227">
        <v>2000</v>
      </c>
      <c r="E531" s="227">
        <f t="shared" si="18"/>
        <v>0</v>
      </c>
      <c r="F531" s="229">
        <f t="shared" si="19"/>
        <v>0</v>
      </c>
      <c r="G531" s="227">
        <v>2000</v>
      </c>
      <c r="H531" s="227">
        <v>0</v>
      </c>
      <c r="J531" s="22" t="s">
        <v>2235</v>
      </c>
    </row>
    <row r="532" spans="1:12" x14ac:dyDescent="0.3">
      <c r="A532" s="22" t="s">
        <v>8</v>
      </c>
      <c r="C532" s="227">
        <v>2000</v>
      </c>
      <c r="D532" s="227">
        <v>2000</v>
      </c>
      <c r="E532" s="227">
        <f t="shared" si="18"/>
        <v>0</v>
      </c>
      <c r="F532" s="229">
        <f t="shared" si="19"/>
        <v>0</v>
      </c>
      <c r="G532" s="227">
        <v>2000</v>
      </c>
      <c r="H532" s="227">
        <v>0</v>
      </c>
    </row>
    <row r="533" spans="1:12" x14ac:dyDescent="0.3">
      <c r="D533" s="227">
        <v>0</v>
      </c>
      <c r="E533" s="227">
        <f t="shared" si="18"/>
        <v>0</v>
      </c>
      <c r="F533" s="229" t="e">
        <f t="shared" si="19"/>
        <v>#DIV/0!</v>
      </c>
    </row>
    <row r="534" spans="1:12" x14ac:dyDescent="0.3">
      <c r="A534" s="22" t="s">
        <v>396</v>
      </c>
      <c r="B534" s="22" t="s">
        <v>1971</v>
      </c>
      <c r="C534" s="227">
        <v>2000</v>
      </c>
      <c r="D534" s="227">
        <v>2000</v>
      </c>
      <c r="E534" s="227">
        <f t="shared" si="18"/>
        <v>0</v>
      </c>
      <c r="F534" s="229">
        <f t="shared" si="19"/>
        <v>0</v>
      </c>
      <c r="G534" s="227">
        <v>2000</v>
      </c>
      <c r="H534" s="227">
        <v>0</v>
      </c>
    </row>
    <row r="535" spans="1:12" x14ac:dyDescent="0.3">
      <c r="D535" s="227">
        <v>0</v>
      </c>
      <c r="E535" s="227">
        <f t="shared" si="18"/>
        <v>0</v>
      </c>
      <c r="F535" s="229" t="e">
        <f t="shared" si="19"/>
        <v>#DIV/0!</v>
      </c>
    </row>
    <row r="536" spans="1:12" x14ac:dyDescent="0.3">
      <c r="A536" s="22" t="s">
        <v>397</v>
      </c>
      <c r="B536" s="22" t="s">
        <v>1090</v>
      </c>
      <c r="C536" s="227">
        <v>68000</v>
      </c>
      <c r="D536" s="227">
        <v>66504.31</v>
      </c>
      <c r="E536" s="227">
        <f t="shared" si="18"/>
        <v>1495.6900000000023</v>
      </c>
      <c r="F536" s="229">
        <f t="shared" si="19"/>
        <v>2.2490121316949267E-2</v>
      </c>
      <c r="G536" s="227">
        <v>17500</v>
      </c>
      <c r="H536" s="227">
        <v>49004.31</v>
      </c>
      <c r="J536" s="22">
        <v>66500</v>
      </c>
      <c r="K536" s="22">
        <v>17495.690000000002</v>
      </c>
    </row>
    <row r="537" spans="1:12" x14ac:dyDescent="0.3">
      <c r="A537" s="22" t="s">
        <v>8</v>
      </c>
      <c r="C537" s="227">
        <v>68000</v>
      </c>
      <c r="D537" s="227">
        <v>66504.31</v>
      </c>
      <c r="E537" s="227">
        <f t="shared" si="18"/>
        <v>1495.6900000000023</v>
      </c>
      <c r="F537" s="229">
        <f t="shared" si="19"/>
        <v>2.2490121316949267E-2</v>
      </c>
      <c r="G537" s="227">
        <v>17500</v>
      </c>
      <c r="H537" s="227">
        <v>49004.31</v>
      </c>
    </row>
    <row r="538" spans="1:12" x14ac:dyDescent="0.3">
      <c r="D538" s="227">
        <v>0</v>
      </c>
      <c r="E538" s="227">
        <f t="shared" si="18"/>
        <v>0</v>
      </c>
      <c r="F538" s="229" t="e">
        <f t="shared" si="19"/>
        <v>#DIV/0!</v>
      </c>
      <c r="H538" s="227">
        <v>0</v>
      </c>
    </row>
    <row r="539" spans="1:12" x14ac:dyDescent="0.3">
      <c r="A539" s="22" t="s">
        <v>398</v>
      </c>
      <c r="B539" s="22" t="s">
        <v>1972</v>
      </c>
      <c r="C539" s="227">
        <v>68000</v>
      </c>
      <c r="D539" s="227">
        <v>66504.31</v>
      </c>
      <c r="E539" s="227">
        <f t="shared" si="18"/>
        <v>1495.6900000000023</v>
      </c>
      <c r="F539" s="229">
        <f t="shared" si="19"/>
        <v>2.2490121316949267E-2</v>
      </c>
      <c r="G539" s="227">
        <v>17500</v>
      </c>
      <c r="H539" s="227">
        <v>49004.31</v>
      </c>
    </row>
    <row r="540" spans="1:12" x14ac:dyDescent="0.3">
      <c r="D540" s="227">
        <v>0</v>
      </c>
      <c r="E540" s="227">
        <f t="shared" si="18"/>
        <v>0</v>
      </c>
      <c r="F540" s="229" t="e">
        <f t="shared" si="19"/>
        <v>#DIV/0!</v>
      </c>
    </row>
    <row r="541" spans="1:12" x14ac:dyDescent="0.3">
      <c r="A541" s="22" t="s">
        <v>399</v>
      </c>
      <c r="B541" s="22" t="s">
        <v>1743</v>
      </c>
      <c r="C541" s="227">
        <v>69677</v>
      </c>
      <c r="D541" s="227">
        <v>65088.65</v>
      </c>
      <c r="E541" s="227">
        <f t="shared" si="18"/>
        <v>4588.3499999999985</v>
      </c>
      <c r="F541" s="229">
        <f t="shared" si="19"/>
        <v>7.0493857223955306E-2</v>
      </c>
      <c r="G541" s="227">
        <v>15890</v>
      </c>
      <c r="H541" s="227">
        <v>49198.65</v>
      </c>
      <c r="J541" s="22">
        <v>65089</v>
      </c>
      <c r="K541" s="22">
        <v>15890.349999999999</v>
      </c>
      <c r="L541" s="22" t="s">
        <v>2121</v>
      </c>
    </row>
    <row r="542" spans="1:12" x14ac:dyDescent="0.3">
      <c r="A542" s="22" t="s">
        <v>8</v>
      </c>
      <c r="C542" s="227">
        <v>69677</v>
      </c>
      <c r="D542" s="227">
        <v>65088.65</v>
      </c>
      <c r="E542" s="227">
        <f t="shared" si="18"/>
        <v>4588.3499999999985</v>
      </c>
      <c r="F542" s="229">
        <f t="shared" si="19"/>
        <v>7.0493857223955306E-2</v>
      </c>
      <c r="G542" s="227">
        <v>15890</v>
      </c>
      <c r="H542" s="227">
        <v>49198.65</v>
      </c>
    </row>
    <row r="543" spans="1:12" x14ac:dyDescent="0.3">
      <c r="D543" s="227">
        <v>0</v>
      </c>
      <c r="E543" s="227">
        <f t="shared" si="18"/>
        <v>0</v>
      </c>
      <c r="F543" s="229" t="e">
        <f t="shared" si="19"/>
        <v>#DIV/0!</v>
      </c>
    </row>
    <row r="544" spans="1:12" x14ac:dyDescent="0.3">
      <c r="A544" s="22" t="s">
        <v>400</v>
      </c>
      <c r="B544" s="22" t="s">
        <v>1973</v>
      </c>
      <c r="C544" s="227">
        <v>69677</v>
      </c>
      <c r="D544" s="227">
        <v>65088.65</v>
      </c>
      <c r="E544" s="227">
        <f t="shared" si="18"/>
        <v>4588.3499999999985</v>
      </c>
      <c r="F544" s="229">
        <f t="shared" si="19"/>
        <v>7.0493857223955306E-2</v>
      </c>
      <c r="G544" s="227">
        <v>15890</v>
      </c>
      <c r="H544" s="227">
        <v>49198.65</v>
      </c>
    </row>
    <row r="545" spans="1:10" x14ac:dyDescent="0.3">
      <c r="D545" s="227">
        <v>0</v>
      </c>
      <c r="E545" s="227">
        <f t="shared" si="18"/>
        <v>0</v>
      </c>
      <c r="F545" s="229" t="e">
        <f t="shared" si="19"/>
        <v>#DIV/0!</v>
      </c>
    </row>
    <row r="546" spans="1:10" x14ac:dyDescent="0.3">
      <c r="A546" s="22" t="s">
        <v>401</v>
      </c>
      <c r="B546" s="22" t="s">
        <v>893</v>
      </c>
      <c r="C546" s="227">
        <v>27600</v>
      </c>
      <c r="D546" s="227">
        <v>26400</v>
      </c>
      <c r="E546" s="227">
        <f t="shared" si="18"/>
        <v>1200</v>
      </c>
      <c r="F546" s="229">
        <f t="shared" si="19"/>
        <v>4.5454545454545456E-2</v>
      </c>
      <c r="G546" s="227">
        <v>0</v>
      </c>
      <c r="H546" s="227">
        <v>26400</v>
      </c>
    </row>
    <row r="547" spans="1:10" x14ac:dyDescent="0.3">
      <c r="A547" s="22" t="s">
        <v>8</v>
      </c>
      <c r="C547" s="227">
        <v>27600</v>
      </c>
      <c r="D547" s="227">
        <v>26400</v>
      </c>
      <c r="E547" s="227">
        <f t="shared" si="18"/>
        <v>1200</v>
      </c>
      <c r="F547" s="229">
        <f t="shared" si="19"/>
        <v>4.5454545454545456E-2</v>
      </c>
      <c r="G547" s="227">
        <v>0</v>
      </c>
      <c r="H547" s="227">
        <v>26400</v>
      </c>
    </row>
    <row r="548" spans="1:10" x14ac:dyDescent="0.3">
      <c r="D548" s="227">
        <v>0</v>
      </c>
      <c r="E548" s="227">
        <f t="shared" si="18"/>
        <v>0</v>
      </c>
      <c r="F548" s="229" t="e">
        <f t="shared" si="19"/>
        <v>#DIV/0!</v>
      </c>
      <c r="H548" s="227">
        <v>0</v>
      </c>
    </row>
    <row r="549" spans="1:10" x14ac:dyDescent="0.3">
      <c r="A549" s="22" t="s">
        <v>402</v>
      </c>
      <c r="B549" s="22" t="s">
        <v>1978</v>
      </c>
      <c r="C549" s="227">
        <v>27600</v>
      </c>
      <c r="D549" s="227">
        <v>26400</v>
      </c>
      <c r="E549" s="227">
        <f t="shared" si="18"/>
        <v>1200</v>
      </c>
      <c r="F549" s="229">
        <f t="shared" si="19"/>
        <v>4.5454545454545456E-2</v>
      </c>
      <c r="G549" s="227">
        <v>0</v>
      </c>
      <c r="H549" s="227">
        <v>26400</v>
      </c>
    </row>
    <row r="550" spans="1:10" x14ac:dyDescent="0.3">
      <c r="D550" s="227">
        <v>0</v>
      </c>
      <c r="E550" s="227">
        <f t="shared" si="18"/>
        <v>0</v>
      </c>
      <c r="F550" s="229" t="e">
        <f t="shared" si="19"/>
        <v>#DIV/0!</v>
      </c>
    </row>
    <row r="551" spans="1:10" x14ac:dyDescent="0.3">
      <c r="A551" s="22" t="s">
        <v>403</v>
      </c>
      <c r="B551" s="22" t="s">
        <v>1795</v>
      </c>
      <c r="C551" s="227">
        <v>6000</v>
      </c>
      <c r="D551" s="227">
        <v>2000</v>
      </c>
      <c r="E551" s="227">
        <f t="shared" si="18"/>
        <v>4000</v>
      </c>
      <c r="F551" s="229">
        <f t="shared" si="19"/>
        <v>2</v>
      </c>
      <c r="G551" s="227">
        <v>2000</v>
      </c>
      <c r="H551" s="227">
        <v>0</v>
      </c>
      <c r="J551" s="22" t="s">
        <v>2232</v>
      </c>
    </row>
    <row r="552" spans="1:10" x14ac:dyDescent="0.3">
      <c r="A552" s="22" t="s">
        <v>8</v>
      </c>
      <c r="C552" s="227">
        <v>6000</v>
      </c>
      <c r="D552" s="227">
        <v>2000</v>
      </c>
      <c r="E552" s="227">
        <f t="shared" si="18"/>
        <v>4000</v>
      </c>
      <c r="F552" s="229">
        <f t="shared" si="19"/>
        <v>2</v>
      </c>
      <c r="G552" s="227">
        <v>2000</v>
      </c>
      <c r="H552" s="227">
        <v>0</v>
      </c>
    </row>
    <row r="553" spans="1:10" x14ac:dyDescent="0.3">
      <c r="D553" s="227">
        <v>0</v>
      </c>
      <c r="E553" s="227">
        <f t="shared" si="18"/>
        <v>0</v>
      </c>
      <c r="F553" s="229" t="e">
        <f t="shared" si="19"/>
        <v>#DIV/0!</v>
      </c>
    </row>
    <row r="554" spans="1:10" x14ac:dyDescent="0.3">
      <c r="A554" s="22" t="s">
        <v>404</v>
      </c>
      <c r="B554" s="22" t="s">
        <v>1979</v>
      </c>
      <c r="C554" s="227">
        <v>6000</v>
      </c>
      <c r="D554" s="227">
        <v>2000</v>
      </c>
      <c r="E554" s="227">
        <f t="shared" si="18"/>
        <v>4000</v>
      </c>
      <c r="F554" s="229">
        <f t="shared" si="19"/>
        <v>2</v>
      </c>
      <c r="G554" s="227">
        <v>2000</v>
      </c>
      <c r="H554" s="227">
        <v>0</v>
      </c>
    </row>
    <row r="555" spans="1:10" x14ac:dyDescent="0.3">
      <c r="D555" s="227">
        <v>0</v>
      </c>
      <c r="E555" s="227">
        <f t="shared" si="18"/>
        <v>0</v>
      </c>
      <c r="F555" s="229" t="e">
        <f t="shared" si="19"/>
        <v>#DIV/0!</v>
      </c>
    </row>
    <row r="556" spans="1:10" x14ac:dyDescent="0.3">
      <c r="A556" s="22" t="s">
        <v>405</v>
      </c>
      <c r="B556" s="22" t="s">
        <v>1791</v>
      </c>
      <c r="C556" s="227">
        <v>350</v>
      </c>
      <c r="D556" s="227">
        <v>318</v>
      </c>
      <c r="E556" s="227">
        <f t="shared" si="18"/>
        <v>32</v>
      </c>
      <c r="F556" s="229">
        <f t="shared" si="19"/>
        <v>0.10062893081761007</v>
      </c>
      <c r="H556" s="227">
        <v>318</v>
      </c>
    </row>
    <row r="557" spans="1:10" x14ac:dyDescent="0.3">
      <c r="A557" s="22" t="s">
        <v>8</v>
      </c>
      <c r="C557" s="227">
        <v>350</v>
      </c>
      <c r="D557" s="227">
        <v>318</v>
      </c>
      <c r="E557" s="227">
        <f t="shared" si="18"/>
        <v>32</v>
      </c>
      <c r="F557" s="229">
        <f t="shared" si="19"/>
        <v>0.10062893081761007</v>
      </c>
      <c r="G557" s="227">
        <v>0</v>
      </c>
      <c r="H557" s="227">
        <v>318</v>
      </c>
    </row>
    <row r="558" spans="1:10" x14ac:dyDescent="0.3">
      <c r="D558" s="227">
        <v>0</v>
      </c>
      <c r="E558" s="227">
        <f t="shared" si="18"/>
        <v>0</v>
      </c>
      <c r="F558" s="229" t="e">
        <f t="shared" si="19"/>
        <v>#DIV/0!</v>
      </c>
    </row>
    <row r="559" spans="1:10" x14ac:dyDescent="0.3">
      <c r="A559" s="22" t="s">
        <v>406</v>
      </c>
      <c r="B559" s="22" t="s">
        <v>1980</v>
      </c>
      <c r="C559" s="227">
        <v>350</v>
      </c>
      <c r="D559" s="227">
        <v>318</v>
      </c>
      <c r="E559" s="227">
        <f t="shared" si="18"/>
        <v>32</v>
      </c>
      <c r="F559" s="229">
        <f t="shared" si="19"/>
        <v>0.10062893081761007</v>
      </c>
      <c r="G559" s="227">
        <v>0</v>
      </c>
      <c r="H559" s="227">
        <v>318</v>
      </c>
    </row>
    <row r="560" spans="1:10" x14ac:dyDescent="0.3">
      <c r="D560" s="227">
        <v>0</v>
      </c>
      <c r="E560" s="227">
        <f t="shared" si="18"/>
        <v>0</v>
      </c>
      <c r="F560" s="229" t="e">
        <f t="shared" si="19"/>
        <v>#DIV/0!</v>
      </c>
    </row>
    <row r="561" spans="1:11" x14ac:dyDescent="0.3">
      <c r="A561" s="22" t="s">
        <v>407</v>
      </c>
      <c r="B561" s="22" t="s">
        <v>1077</v>
      </c>
      <c r="D561" s="227">
        <v>0</v>
      </c>
      <c r="E561" s="227">
        <f t="shared" si="18"/>
        <v>0</v>
      </c>
      <c r="F561" s="229" t="e">
        <f t="shared" si="19"/>
        <v>#DIV/0!</v>
      </c>
      <c r="H561" s="227">
        <v>0</v>
      </c>
    </row>
    <row r="562" spans="1:11" x14ac:dyDescent="0.3">
      <c r="A562" s="22" t="s">
        <v>408</v>
      </c>
      <c r="B562" s="22" t="s">
        <v>1110</v>
      </c>
      <c r="D562" s="227">
        <v>0</v>
      </c>
      <c r="E562" s="227">
        <f t="shared" si="18"/>
        <v>0</v>
      </c>
      <c r="F562" s="229" t="e">
        <f t="shared" si="19"/>
        <v>#DIV/0!</v>
      </c>
      <c r="H562" s="227">
        <v>0</v>
      </c>
    </row>
    <row r="563" spans="1:11" x14ac:dyDescent="0.3">
      <c r="A563" s="22" t="s">
        <v>409</v>
      </c>
      <c r="B563" s="22" t="s">
        <v>891</v>
      </c>
      <c r="C563" s="227">
        <v>3500</v>
      </c>
      <c r="D563" s="227">
        <v>3397.12</v>
      </c>
      <c r="E563" s="227">
        <f t="shared" si="18"/>
        <v>102.88000000000011</v>
      </c>
      <c r="F563" s="229">
        <f t="shared" si="19"/>
        <v>3.0284476262245699E-2</v>
      </c>
      <c r="G563" s="227">
        <v>300</v>
      </c>
      <c r="H563" s="227">
        <v>3097.12</v>
      </c>
    </row>
    <row r="564" spans="1:11" x14ac:dyDescent="0.3">
      <c r="A564" s="22" t="s">
        <v>410</v>
      </c>
      <c r="B564" s="22" t="s">
        <v>1764</v>
      </c>
      <c r="C564" s="227">
        <v>3500</v>
      </c>
      <c r="D564" s="227">
        <v>3534.32</v>
      </c>
      <c r="E564" s="227">
        <f t="shared" si="18"/>
        <v>-34.320000000000164</v>
      </c>
      <c r="F564" s="229">
        <f t="shared" si="19"/>
        <v>-9.7104959369836812E-3</v>
      </c>
      <c r="G564" s="227">
        <v>500</v>
      </c>
      <c r="H564" s="227">
        <v>3034.32</v>
      </c>
    </row>
    <row r="565" spans="1:11" x14ac:dyDescent="0.3">
      <c r="A565" s="22" t="s">
        <v>411</v>
      </c>
      <c r="B565" s="22" t="s">
        <v>1772</v>
      </c>
      <c r="C565" s="227">
        <v>1500</v>
      </c>
      <c r="D565" s="227">
        <v>1375.7</v>
      </c>
      <c r="E565" s="227">
        <f t="shared" si="18"/>
        <v>124.29999999999995</v>
      </c>
      <c r="F565" s="229">
        <f t="shared" si="19"/>
        <v>9.0354001599185829E-2</v>
      </c>
      <c r="H565" s="227">
        <v>1375.7</v>
      </c>
    </row>
    <row r="566" spans="1:11" x14ac:dyDescent="0.3">
      <c r="A566" s="22" t="s">
        <v>412</v>
      </c>
      <c r="B566" s="22" t="s">
        <v>1783</v>
      </c>
      <c r="D566" s="227">
        <v>0</v>
      </c>
      <c r="E566" s="227">
        <f t="shared" si="18"/>
        <v>0</v>
      </c>
      <c r="F566" s="229" t="e">
        <f t="shared" si="19"/>
        <v>#DIV/0!</v>
      </c>
      <c r="H566" s="227">
        <v>0</v>
      </c>
    </row>
    <row r="567" spans="1:11" x14ac:dyDescent="0.3">
      <c r="A567" s="22" t="s">
        <v>8</v>
      </c>
      <c r="C567" s="227">
        <v>8500</v>
      </c>
      <c r="D567" s="227">
        <v>8307.14</v>
      </c>
      <c r="E567" s="227">
        <f t="shared" si="18"/>
        <v>192.86000000000058</v>
      </c>
      <c r="F567" s="229">
        <f t="shared" si="19"/>
        <v>2.321617307521007E-2</v>
      </c>
      <c r="G567" s="227">
        <v>800</v>
      </c>
      <c r="H567" s="227">
        <v>7507.14</v>
      </c>
    </row>
    <row r="568" spans="1:11" x14ac:dyDescent="0.3">
      <c r="D568" s="227">
        <v>0</v>
      </c>
      <c r="E568" s="227">
        <f t="shared" si="18"/>
        <v>0</v>
      </c>
      <c r="F568" s="229" t="e">
        <f t="shared" si="19"/>
        <v>#DIV/0!</v>
      </c>
    </row>
    <row r="569" spans="1:11" x14ac:dyDescent="0.3">
      <c r="A569" s="22" t="s">
        <v>413</v>
      </c>
      <c r="B569" s="22" t="s">
        <v>1981</v>
      </c>
      <c r="C569" s="227">
        <v>8500</v>
      </c>
      <c r="D569" s="227">
        <v>8307.14</v>
      </c>
      <c r="E569" s="227">
        <f t="shared" si="18"/>
        <v>192.86000000000058</v>
      </c>
      <c r="F569" s="229">
        <f t="shared" si="19"/>
        <v>2.321617307521007E-2</v>
      </c>
      <c r="G569" s="227">
        <v>800</v>
      </c>
      <c r="H569" s="227">
        <v>7507.14</v>
      </c>
    </row>
    <row r="570" spans="1:11" x14ac:dyDescent="0.3">
      <c r="D570" s="227">
        <v>0</v>
      </c>
      <c r="E570" s="227">
        <f t="shared" si="18"/>
        <v>0</v>
      </c>
      <c r="F570" s="229" t="e">
        <f t="shared" si="19"/>
        <v>#DIV/0!</v>
      </c>
    </row>
    <row r="571" spans="1:11" x14ac:dyDescent="0.3">
      <c r="A571" s="22" t="s">
        <v>414</v>
      </c>
      <c r="B571" s="22" t="s">
        <v>1754</v>
      </c>
      <c r="C571" s="227">
        <v>9485</v>
      </c>
      <c r="D571" s="227">
        <v>9985.1200000000008</v>
      </c>
      <c r="E571" s="227">
        <f t="shared" si="18"/>
        <v>-500.1200000000008</v>
      </c>
      <c r="F571" s="229">
        <f t="shared" si="19"/>
        <v>-5.0086528754787196E-2</v>
      </c>
      <c r="G571" s="227">
        <v>840</v>
      </c>
      <c r="H571" s="227">
        <v>9145.1200000000008</v>
      </c>
    </row>
    <row r="572" spans="1:11" x14ac:dyDescent="0.3">
      <c r="A572" s="22" t="s">
        <v>8</v>
      </c>
      <c r="C572" s="227">
        <v>9485</v>
      </c>
      <c r="D572" s="227">
        <v>9985.1200000000008</v>
      </c>
      <c r="E572" s="227">
        <f t="shared" si="18"/>
        <v>-500.1200000000008</v>
      </c>
      <c r="F572" s="229">
        <f t="shared" si="19"/>
        <v>-5.0086528754787196E-2</v>
      </c>
      <c r="G572" s="227">
        <v>840</v>
      </c>
      <c r="H572" s="227">
        <v>9145.1200000000008</v>
      </c>
    </row>
    <row r="573" spans="1:11" x14ac:dyDescent="0.3">
      <c r="D573" s="227">
        <v>0</v>
      </c>
      <c r="E573" s="227">
        <f t="shared" si="18"/>
        <v>0</v>
      </c>
      <c r="F573" s="229" t="e">
        <f t="shared" si="19"/>
        <v>#DIV/0!</v>
      </c>
    </row>
    <row r="574" spans="1:11" x14ac:dyDescent="0.3">
      <c r="A574" s="22" t="s">
        <v>415</v>
      </c>
      <c r="B574" s="22" t="s">
        <v>1982</v>
      </c>
      <c r="C574" s="227">
        <v>9485</v>
      </c>
      <c r="D574" s="227">
        <v>9985.1200000000008</v>
      </c>
      <c r="E574" s="227">
        <f t="shared" si="18"/>
        <v>-500.1200000000008</v>
      </c>
      <c r="F574" s="229">
        <f t="shared" si="19"/>
        <v>-5.0086528754787196E-2</v>
      </c>
      <c r="G574" s="227">
        <v>840</v>
      </c>
      <c r="H574" s="227">
        <v>9145.1200000000008</v>
      </c>
    </row>
    <row r="575" spans="1:11" x14ac:dyDescent="0.3">
      <c r="D575" s="227">
        <v>0</v>
      </c>
      <c r="E575" s="227">
        <f t="shared" si="18"/>
        <v>0</v>
      </c>
      <c r="F575" s="229" t="e">
        <f t="shared" si="19"/>
        <v>#DIV/0!</v>
      </c>
    </row>
    <row r="576" spans="1:11" x14ac:dyDescent="0.3">
      <c r="A576" s="22" t="s">
        <v>416</v>
      </c>
      <c r="B576" s="22" t="s">
        <v>1770</v>
      </c>
      <c r="C576" s="227">
        <v>3799</v>
      </c>
      <c r="D576" s="227">
        <v>3165.94</v>
      </c>
      <c r="E576" s="227">
        <f t="shared" si="18"/>
        <v>633.05999999999995</v>
      </c>
      <c r="F576" s="229">
        <f t="shared" si="19"/>
        <v>0.19995956966967154</v>
      </c>
      <c r="G576" s="227">
        <v>1683</v>
      </c>
      <c r="H576" s="227">
        <v>1482.94</v>
      </c>
      <c r="J576" s="22">
        <v>3166</v>
      </c>
      <c r="K576" s="22">
        <v>1683.06</v>
      </c>
    </row>
    <row r="577" spans="1:10" x14ac:dyDescent="0.3">
      <c r="A577" s="22" t="s">
        <v>8</v>
      </c>
      <c r="C577" s="227">
        <v>3799</v>
      </c>
      <c r="D577" s="227">
        <v>3165.94</v>
      </c>
      <c r="E577" s="227">
        <f t="shared" si="18"/>
        <v>633.05999999999995</v>
      </c>
      <c r="F577" s="229">
        <f t="shared" si="19"/>
        <v>0.19995956966967154</v>
      </c>
      <c r="G577" s="227">
        <v>1683</v>
      </c>
      <c r="H577" s="227">
        <v>1482.94</v>
      </c>
    </row>
    <row r="578" spans="1:10" x14ac:dyDescent="0.3">
      <c r="D578" s="227">
        <v>0</v>
      </c>
      <c r="E578" s="227">
        <f t="shared" si="18"/>
        <v>0</v>
      </c>
      <c r="F578" s="229" t="e">
        <f t="shared" si="19"/>
        <v>#DIV/0!</v>
      </c>
    </row>
    <row r="579" spans="1:10" x14ac:dyDescent="0.3">
      <c r="A579" s="22" t="s">
        <v>417</v>
      </c>
      <c r="B579" s="22" t="s">
        <v>1983</v>
      </c>
      <c r="C579" s="227">
        <v>3799</v>
      </c>
      <c r="D579" s="227">
        <v>3165.94</v>
      </c>
      <c r="E579" s="227">
        <f t="shared" si="18"/>
        <v>633.05999999999995</v>
      </c>
      <c r="F579" s="229">
        <f t="shared" si="19"/>
        <v>0.19995956966967154</v>
      </c>
      <c r="G579" s="227">
        <v>1683</v>
      </c>
      <c r="H579" s="227">
        <v>1482.94</v>
      </c>
    </row>
    <row r="580" spans="1:10" x14ac:dyDescent="0.3">
      <c r="D580" s="227">
        <v>0</v>
      </c>
      <c r="E580" s="227">
        <f t="shared" si="18"/>
        <v>0</v>
      </c>
      <c r="F580" s="229" t="e">
        <f t="shared" si="19"/>
        <v>#DIV/0!</v>
      </c>
    </row>
    <row r="581" spans="1:10" x14ac:dyDescent="0.3">
      <c r="A581" s="22" t="s">
        <v>418</v>
      </c>
      <c r="B581" s="22" t="s">
        <v>1752</v>
      </c>
      <c r="C581" s="227">
        <v>200</v>
      </c>
      <c r="D581" s="227">
        <v>165.24</v>
      </c>
      <c r="E581" s="227">
        <f t="shared" si="18"/>
        <v>34.759999999999991</v>
      </c>
      <c r="F581" s="229">
        <f t="shared" si="19"/>
        <v>0.21036068748487041</v>
      </c>
      <c r="G581" s="227">
        <v>30</v>
      </c>
      <c r="H581" s="227">
        <v>135.24</v>
      </c>
    </row>
    <row r="582" spans="1:10" x14ac:dyDescent="0.3">
      <c r="A582" s="22" t="s">
        <v>8</v>
      </c>
      <c r="C582" s="227">
        <v>200</v>
      </c>
      <c r="D582" s="227">
        <v>165.24</v>
      </c>
      <c r="E582" s="227">
        <f t="shared" si="18"/>
        <v>34.759999999999991</v>
      </c>
      <c r="F582" s="229">
        <f t="shared" si="19"/>
        <v>0.21036068748487041</v>
      </c>
      <c r="G582" s="227">
        <v>30</v>
      </c>
      <c r="H582" s="227">
        <v>135.24</v>
      </c>
    </row>
    <row r="583" spans="1:10" x14ac:dyDescent="0.3">
      <c r="D583" s="227">
        <v>0</v>
      </c>
      <c r="E583" s="227">
        <f t="shared" si="18"/>
        <v>0</v>
      </c>
      <c r="F583" s="229" t="e">
        <f t="shared" si="19"/>
        <v>#DIV/0!</v>
      </c>
    </row>
    <row r="584" spans="1:10" x14ac:dyDescent="0.3">
      <c r="A584" s="22" t="s">
        <v>419</v>
      </c>
      <c r="B584" s="22" t="s">
        <v>1984</v>
      </c>
      <c r="C584" s="227">
        <v>200</v>
      </c>
      <c r="D584" s="227">
        <v>165.24</v>
      </c>
      <c r="E584" s="227">
        <f t="shared" ref="E584:E647" si="20">C584-D584</f>
        <v>34.759999999999991</v>
      </c>
      <c r="F584" s="229">
        <f t="shared" ref="F584:F647" si="21">E584/D584</f>
        <v>0.21036068748487041</v>
      </c>
      <c r="G584" s="227">
        <v>30</v>
      </c>
      <c r="H584" s="227">
        <v>135.24</v>
      </c>
    </row>
    <row r="585" spans="1:10" x14ac:dyDescent="0.3">
      <c r="D585" s="227">
        <v>0</v>
      </c>
      <c r="E585" s="227">
        <f t="shared" si="20"/>
        <v>0</v>
      </c>
      <c r="F585" s="229" t="e">
        <f t="shared" si="21"/>
        <v>#DIV/0!</v>
      </c>
    </row>
    <row r="586" spans="1:10" x14ac:dyDescent="0.3">
      <c r="A586" s="22" t="s">
        <v>420</v>
      </c>
      <c r="B586" s="22" t="s">
        <v>1781</v>
      </c>
      <c r="C586" s="227">
        <v>5000</v>
      </c>
      <c r="D586" s="227">
        <v>4320.2</v>
      </c>
      <c r="E586" s="227">
        <f t="shared" si="20"/>
        <v>679.80000000000018</v>
      </c>
      <c r="F586" s="229">
        <f t="shared" si="21"/>
        <v>0.15735382621174951</v>
      </c>
      <c r="G586" s="227">
        <v>600</v>
      </c>
      <c r="H586" s="227">
        <v>3720.2</v>
      </c>
      <c r="J586" s="22" t="s">
        <v>2233</v>
      </c>
    </row>
    <row r="587" spans="1:10" x14ac:dyDescent="0.3">
      <c r="A587" s="22" t="s">
        <v>8</v>
      </c>
      <c r="C587" s="227">
        <v>5000</v>
      </c>
      <c r="D587" s="227">
        <v>4320.2</v>
      </c>
      <c r="E587" s="227">
        <f t="shared" si="20"/>
        <v>679.80000000000018</v>
      </c>
      <c r="F587" s="229">
        <f t="shared" si="21"/>
        <v>0.15735382621174951</v>
      </c>
      <c r="G587" s="227">
        <v>600</v>
      </c>
      <c r="H587" s="227">
        <v>3720.2</v>
      </c>
    </row>
    <row r="588" spans="1:10" x14ac:dyDescent="0.3">
      <c r="D588" s="227">
        <v>0</v>
      </c>
      <c r="E588" s="227">
        <f t="shared" si="20"/>
        <v>0</v>
      </c>
      <c r="F588" s="229" t="e">
        <f t="shared" si="21"/>
        <v>#DIV/0!</v>
      </c>
    </row>
    <row r="589" spans="1:10" x14ac:dyDescent="0.3">
      <c r="A589" s="22" t="s">
        <v>421</v>
      </c>
      <c r="B589" s="22" t="s">
        <v>1986</v>
      </c>
      <c r="C589" s="227">
        <v>5000</v>
      </c>
      <c r="D589" s="227">
        <v>4320.2</v>
      </c>
      <c r="E589" s="227">
        <f t="shared" si="20"/>
        <v>679.80000000000018</v>
      </c>
      <c r="F589" s="229">
        <f t="shared" si="21"/>
        <v>0.15735382621174951</v>
      </c>
      <c r="G589" s="227">
        <v>600</v>
      </c>
      <c r="H589" s="227">
        <v>3720.2</v>
      </c>
    </row>
    <row r="590" spans="1:10" x14ac:dyDescent="0.3">
      <c r="D590" s="227">
        <v>0</v>
      </c>
      <c r="E590" s="227">
        <f t="shared" si="20"/>
        <v>0</v>
      </c>
      <c r="F590" s="229" t="e">
        <f t="shared" si="21"/>
        <v>#DIV/0!</v>
      </c>
    </row>
    <row r="591" spans="1:10" x14ac:dyDescent="0.3">
      <c r="A591" s="22" t="s">
        <v>422</v>
      </c>
      <c r="B591" s="22" t="s">
        <v>909</v>
      </c>
      <c r="C591" s="227">
        <v>500</v>
      </c>
      <c r="D591" s="227">
        <v>500</v>
      </c>
      <c r="E591" s="227">
        <f t="shared" si="20"/>
        <v>0</v>
      </c>
      <c r="F591" s="229">
        <f t="shared" si="21"/>
        <v>0</v>
      </c>
      <c r="G591" s="227">
        <v>500</v>
      </c>
      <c r="H591" s="227">
        <v>0</v>
      </c>
      <c r="J591" s="22" t="s">
        <v>2288</v>
      </c>
    </row>
    <row r="592" spans="1:10" x14ac:dyDescent="0.3">
      <c r="A592" s="22" t="s">
        <v>8</v>
      </c>
      <c r="C592" s="227">
        <v>500</v>
      </c>
      <c r="D592" s="227">
        <v>500</v>
      </c>
      <c r="E592" s="227">
        <f t="shared" si="20"/>
        <v>0</v>
      </c>
      <c r="F592" s="229">
        <f t="shared" si="21"/>
        <v>0</v>
      </c>
      <c r="G592" s="227">
        <v>500</v>
      </c>
      <c r="H592" s="227">
        <v>0</v>
      </c>
    </row>
    <row r="593" spans="1:10" x14ac:dyDescent="0.3">
      <c r="D593" s="227">
        <v>0</v>
      </c>
      <c r="E593" s="227">
        <f t="shared" si="20"/>
        <v>0</v>
      </c>
      <c r="F593" s="229" t="e">
        <f t="shared" si="21"/>
        <v>#DIV/0!</v>
      </c>
    </row>
    <row r="594" spans="1:10" x14ac:dyDescent="0.3">
      <c r="A594" s="22" t="s">
        <v>423</v>
      </c>
      <c r="B594" s="22" t="s">
        <v>1987</v>
      </c>
      <c r="C594" s="227">
        <v>500</v>
      </c>
      <c r="D594" s="227">
        <v>500</v>
      </c>
      <c r="E594" s="227">
        <f t="shared" si="20"/>
        <v>0</v>
      </c>
      <c r="F594" s="229">
        <f t="shared" si="21"/>
        <v>0</v>
      </c>
      <c r="G594" s="227">
        <v>500</v>
      </c>
      <c r="H594" s="227">
        <v>0</v>
      </c>
    </row>
    <row r="595" spans="1:10" x14ac:dyDescent="0.3">
      <c r="D595" s="227">
        <v>0</v>
      </c>
      <c r="E595" s="227">
        <f t="shared" si="20"/>
        <v>0</v>
      </c>
      <c r="F595" s="229" t="e">
        <f t="shared" si="21"/>
        <v>#DIV/0!</v>
      </c>
    </row>
    <row r="596" spans="1:10" x14ac:dyDescent="0.3">
      <c r="A596" s="22" t="s">
        <v>424</v>
      </c>
      <c r="B596" s="22" t="s">
        <v>1750</v>
      </c>
      <c r="C596" s="227">
        <v>20000</v>
      </c>
      <c r="D596" s="227">
        <v>19935.990000000002</v>
      </c>
      <c r="E596" s="227">
        <f t="shared" si="20"/>
        <v>64.009999999998399</v>
      </c>
      <c r="F596" s="229">
        <f t="shared" si="21"/>
        <v>3.2107760888723555E-3</v>
      </c>
      <c r="G596" s="227">
        <v>2000</v>
      </c>
      <c r="H596" s="227">
        <v>17935.990000000002</v>
      </c>
    </row>
    <row r="597" spans="1:10" x14ac:dyDescent="0.3">
      <c r="A597" s="22" t="s">
        <v>8</v>
      </c>
      <c r="C597" s="227">
        <v>20000</v>
      </c>
      <c r="D597" s="227">
        <v>19935.990000000002</v>
      </c>
      <c r="E597" s="227">
        <f t="shared" si="20"/>
        <v>64.009999999998399</v>
      </c>
      <c r="F597" s="229">
        <f t="shared" si="21"/>
        <v>3.2107760888723555E-3</v>
      </c>
      <c r="G597" s="227">
        <v>2000</v>
      </c>
      <c r="H597" s="227">
        <v>17935.990000000002</v>
      </c>
    </row>
    <row r="598" spans="1:10" x14ac:dyDescent="0.3">
      <c r="D598" s="227">
        <v>0</v>
      </c>
      <c r="E598" s="227">
        <f t="shared" si="20"/>
        <v>0</v>
      </c>
      <c r="F598" s="229" t="e">
        <f t="shared" si="21"/>
        <v>#DIV/0!</v>
      </c>
    </row>
    <row r="599" spans="1:10" x14ac:dyDescent="0.3">
      <c r="A599" s="22" t="s">
        <v>425</v>
      </c>
      <c r="B599" s="22" t="s">
        <v>1988</v>
      </c>
      <c r="C599" s="227">
        <v>20000</v>
      </c>
      <c r="D599" s="227">
        <v>19935.990000000002</v>
      </c>
      <c r="E599" s="227">
        <f t="shared" si="20"/>
        <v>64.009999999998399</v>
      </c>
      <c r="F599" s="229">
        <f t="shared" si="21"/>
        <v>3.2107760888723555E-3</v>
      </c>
      <c r="G599" s="227">
        <v>2000</v>
      </c>
      <c r="H599" s="227">
        <v>17935.990000000002</v>
      </c>
    </row>
    <row r="600" spans="1:10" x14ac:dyDescent="0.3">
      <c r="D600" s="227">
        <v>0</v>
      </c>
      <c r="E600" s="227">
        <f t="shared" si="20"/>
        <v>0</v>
      </c>
      <c r="F600" s="229" t="e">
        <f t="shared" si="21"/>
        <v>#DIV/0!</v>
      </c>
    </row>
    <row r="601" spans="1:10" x14ac:dyDescent="0.3">
      <c r="A601" s="22" t="s">
        <v>426</v>
      </c>
      <c r="B601" s="22" t="s">
        <v>1778</v>
      </c>
      <c r="C601" s="227">
        <v>2000</v>
      </c>
      <c r="D601" s="227">
        <v>2000</v>
      </c>
      <c r="E601" s="227">
        <f t="shared" si="20"/>
        <v>0</v>
      </c>
      <c r="F601" s="229">
        <f t="shared" si="21"/>
        <v>0</v>
      </c>
      <c r="G601" s="227">
        <v>2000</v>
      </c>
      <c r="H601" s="227">
        <v>0</v>
      </c>
      <c r="J601" s="22" t="s">
        <v>2234</v>
      </c>
    </row>
    <row r="602" spans="1:10" x14ac:dyDescent="0.3">
      <c r="A602" s="22" t="s">
        <v>8</v>
      </c>
      <c r="C602" s="227">
        <v>2000</v>
      </c>
      <c r="D602" s="227">
        <v>2000</v>
      </c>
      <c r="E602" s="227">
        <f t="shared" si="20"/>
        <v>0</v>
      </c>
      <c r="F602" s="229">
        <f t="shared" si="21"/>
        <v>0</v>
      </c>
      <c r="G602" s="227">
        <v>2000</v>
      </c>
      <c r="H602" s="227">
        <v>0</v>
      </c>
    </row>
    <row r="603" spans="1:10" x14ac:dyDescent="0.3">
      <c r="D603" s="227">
        <v>0</v>
      </c>
      <c r="E603" s="227">
        <f t="shared" si="20"/>
        <v>0</v>
      </c>
      <c r="F603" s="229" t="e">
        <f t="shared" si="21"/>
        <v>#DIV/0!</v>
      </c>
    </row>
    <row r="604" spans="1:10" x14ac:dyDescent="0.3">
      <c r="A604" s="22" t="s">
        <v>427</v>
      </c>
      <c r="B604" s="22" t="s">
        <v>1989</v>
      </c>
      <c r="C604" s="227">
        <v>2000</v>
      </c>
      <c r="D604" s="227">
        <v>2000</v>
      </c>
      <c r="E604" s="227">
        <f t="shared" si="20"/>
        <v>0</v>
      </c>
      <c r="F604" s="229">
        <f t="shared" si="21"/>
        <v>0</v>
      </c>
      <c r="G604" s="227">
        <v>2000</v>
      </c>
      <c r="H604" s="227">
        <v>0</v>
      </c>
    </row>
    <row r="605" spans="1:10" x14ac:dyDescent="0.3">
      <c r="D605" s="227">
        <v>0</v>
      </c>
      <c r="E605" s="227">
        <f t="shared" si="20"/>
        <v>0</v>
      </c>
      <c r="F605" s="229" t="e">
        <f t="shared" si="21"/>
        <v>#DIV/0!</v>
      </c>
    </row>
    <row r="606" spans="1:10" x14ac:dyDescent="0.3">
      <c r="A606" s="22" t="s">
        <v>428</v>
      </c>
      <c r="B606" s="22" t="s">
        <v>1757</v>
      </c>
      <c r="C606" s="227">
        <v>56000</v>
      </c>
      <c r="D606" s="227">
        <v>55129.25</v>
      </c>
      <c r="E606" s="227">
        <f t="shared" si="20"/>
        <v>870.75</v>
      </c>
      <c r="F606" s="229">
        <f t="shared" si="21"/>
        <v>1.5794700635325169E-2</v>
      </c>
      <c r="G606" s="227">
        <v>20000</v>
      </c>
      <c r="H606" s="227">
        <v>35129.25</v>
      </c>
    </row>
    <row r="607" spans="1:10" x14ac:dyDescent="0.3">
      <c r="A607" s="22" t="s">
        <v>8</v>
      </c>
      <c r="C607" s="227">
        <v>56000</v>
      </c>
      <c r="D607" s="227">
        <v>55129.25</v>
      </c>
      <c r="E607" s="227">
        <f t="shared" si="20"/>
        <v>870.75</v>
      </c>
      <c r="F607" s="229">
        <f t="shared" si="21"/>
        <v>1.5794700635325169E-2</v>
      </c>
      <c r="G607" s="227">
        <v>20000</v>
      </c>
      <c r="H607" s="227">
        <v>35129.25</v>
      </c>
    </row>
    <row r="608" spans="1:10" x14ac:dyDescent="0.3">
      <c r="D608" s="227">
        <v>0</v>
      </c>
      <c r="E608" s="227">
        <f t="shared" si="20"/>
        <v>0</v>
      </c>
      <c r="F608" s="229" t="e">
        <f t="shared" si="21"/>
        <v>#DIV/0!</v>
      </c>
    </row>
    <row r="609" spans="1:12" x14ac:dyDescent="0.3">
      <c r="A609" s="22" t="s">
        <v>429</v>
      </c>
      <c r="B609" s="22" t="s">
        <v>1990</v>
      </c>
      <c r="C609" s="227">
        <v>56000</v>
      </c>
      <c r="D609" s="227">
        <v>55129.25</v>
      </c>
      <c r="E609" s="227">
        <f t="shared" si="20"/>
        <v>870.75</v>
      </c>
      <c r="F609" s="229">
        <f t="shared" si="21"/>
        <v>1.5794700635325169E-2</v>
      </c>
      <c r="G609" s="227">
        <v>20000</v>
      </c>
      <c r="H609" s="227">
        <v>35129.25</v>
      </c>
    </row>
    <row r="610" spans="1:12" x14ac:dyDescent="0.3">
      <c r="D610" s="227">
        <v>0</v>
      </c>
      <c r="E610" s="227">
        <f t="shared" si="20"/>
        <v>0</v>
      </c>
      <c r="F610" s="229" t="e">
        <f t="shared" si="21"/>
        <v>#DIV/0!</v>
      </c>
    </row>
    <row r="611" spans="1:12" x14ac:dyDescent="0.3">
      <c r="A611" s="22" t="s">
        <v>430</v>
      </c>
      <c r="B611" s="22" t="s">
        <v>1137</v>
      </c>
      <c r="C611" s="227">
        <v>69677</v>
      </c>
      <c r="D611" s="227">
        <v>65088.65</v>
      </c>
      <c r="E611" s="227">
        <f t="shared" si="20"/>
        <v>4588.3499999999985</v>
      </c>
      <c r="F611" s="229">
        <f t="shared" si="21"/>
        <v>7.0493857223955306E-2</v>
      </c>
      <c r="G611" s="227">
        <v>15890</v>
      </c>
      <c r="H611" s="227">
        <v>49198.65</v>
      </c>
      <c r="J611" s="22">
        <v>65089</v>
      </c>
      <c r="K611" s="22">
        <v>15890.349999999999</v>
      </c>
      <c r="L611" s="22" t="s">
        <v>2119</v>
      </c>
    </row>
    <row r="612" spans="1:12" x14ac:dyDescent="0.3">
      <c r="A612" s="22" t="s">
        <v>8</v>
      </c>
      <c r="C612" s="227">
        <v>69677</v>
      </c>
      <c r="D612" s="227">
        <v>65088.65</v>
      </c>
      <c r="E612" s="227">
        <f t="shared" si="20"/>
        <v>4588.3499999999985</v>
      </c>
      <c r="F612" s="229">
        <f t="shared" si="21"/>
        <v>7.0493857223955306E-2</v>
      </c>
      <c r="G612" s="227">
        <v>15890</v>
      </c>
      <c r="H612" s="227">
        <v>49198.65</v>
      </c>
    </row>
    <row r="613" spans="1:12" x14ac:dyDescent="0.3">
      <c r="D613" s="227">
        <v>0</v>
      </c>
      <c r="E613" s="227">
        <f t="shared" si="20"/>
        <v>0</v>
      </c>
      <c r="F613" s="229" t="e">
        <f t="shared" si="21"/>
        <v>#DIV/0!</v>
      </c>
    </row>
    <row r="614" spans="1:12" x14ac:dyDescent="0.3">
      <c r="A614" s="22" t="s">
        <v>431</v>
      </c>
      <c r="B614" s="22" t="s">
        <v>1991</v>
      </c>
      <c r="C614" s="227">
        <v>69677</v>
      </c>
      <c r="D614" s="227">
        <v>65088.65</v>
      </c>
      <c r="E614" s="227">
        <f t="shared" si="20"/>
        <v>4588.3499999999985</v>
      </c>
      <c r="F614" s="229">
        <f t="shared" si="21"/>
        <v>7.0493857223955306E-2</v>
      </c>
      <c r="G614" s="227">
        <v>15890</v>
      </c>
      <c r="H614" s="227">
        <v>49198.65</v>
      </c>
    </row>
    <row r="615" spans="1:12" x14ac:dyDescent="0.3">
      <c r="D615" s="227">
        <v>0</v>
      </c>
      <c r="E615" s="227">
        <f t="shared" si="20"/>
        <v>0</v>
      </c>
      <c r="F615" s="229" t="e">
        <f t="shared" si="21"/>
        <v>#DIV/0!</v>
      </c>
    </row>
    <row r="616" spans="1:12" x14ac:dyDescent="0.3">
      <c r="A616" s="22" t="s">
        <v>432</v>
      </c>
      <c r="B616" s="22" t="s">
        <v>582</v>
      </c>
      <c r="C616" s="227">
        <v>56202</v>
      </c>
      <c r="D616" s="227">
        <v>49226.77</v>
      </c>
      <c r="E616" s="227">
        <f t="shared" si="20"/>
        <v>6975.2300000000032</v>
      </c>
      <c r="F616" s="229">
        <f t="shared" si="21"/>
        <v>0.14169586995043557</v>
      </c>
      <c r="G616" s="227">
        <v>12538</v>
      </c>
      <c r="H616" s="227">
        <v>36688.769999999997</v>
      </c>
      <c r="J616" s="22">
        <v>49227</v>
      </c>
      <c r="K616" s="22">
        <v>12538.230000000003</v>
      </c>
    </row>
    <row r="617" spans="1:12" x14ac:dyDescent="0.3">
      <c r="A617" s="22" t="s">
        <v>433</v>
      </c>
      <c r="B617" s="22" t="s">
        <v>1082</v>
      </c>
      <c r="D617" s="227">
        <v>0</v>
      </c>
      <c r="E617" s="227">
        <f t="shared" si="20"/>
        <v>0</v>
      </c>
      <c r="F617" s="229" t="e">
        <f t="shared" si="21"/>
        <v>#DIV/0!</v>
      </c>
      <c r="H617" s="227">
        <v>0</v>
      </c>
    </row>
    <row r="618" spans="1:12" x14ac:dyDescent="0.3">
      <c r="A618" s="22" t="s">
        <v>434</v>
      </c>
      <c r="B618" s="22" t="s">
        <v>1084</v>
      </c>
      <c r="D618" s="227">
        <v>0</v>
      </c>
      <c r="E618" s="227">
        <f t="shared" si="20"/>
        <v>0</v>
      </c>
      <c r="F618" s="229" t="e">
        <f t="shared" si="21"/>
        <v>#DIV/0!</v>
      </c>
      <c r="H618" s="227">
        <v>0</v>
      </c>
    </row>
    <row r="619" spans="1:12" x14ac:dyDescent="0.3">
      <c r="A619" s="22" t="s">
        <v>435</v>
      </c>
      <c r="B619" s="22" t="s">
        <v>584</v>
      </c>
      <c r="D619" s="227">
        <v>1002.04</v>
      </c>
      <c r="E619" s="227">
        <f t="shared" si="20"/>
        <v>-1002.04</v>
      </c>
      <c r="F619" s="229">
        <f t="shared" si="21"/>
        <v>-1</v>
      </c>
      <c r="H619" s="227">
        <v>1002.04</v>
      </c>
    </row>
    <row r="620" spans="1:12" x14ac:dyDescent="0.3">
      <c r="A620" s="22" t="s">
        <v>436</v>
      </c>
      <c r="B620" s="22" t="s">
        <v>630</v>
      </c>
      <c r="C620" s="227">
        <v>24537</v>
      </c>
      <c r="D620" s="227">
        <v>22643.59</v>
      </c>
      <c r="E620" s="227">
        <f t="shared" si="20"/>
        <v>1893.4099999999999</v>
      </c>
      <c r="F620" s="229">
        <f t="shared" si="21"/>
        <v>8.3617924542883873E-2</v>
      </c>
      <c r="G620" s="227">
        <v>8708</v>
      </c>
      <c r="H620" s="227">
        <v>13935.59</v>
      </c>
      <c r="J620" s="22">
        <v>22644</v>
      </c>
      <c r="K620" s="22">
        <v>8708.41</v>
      </c>
    </row>
    <row r="621" spans="1:12" x14ac:dyDescent="0.3">
      <c r="A621" s="22" t="s">
        <v>437</v>
      </c>
      <c r="B621" s="22" t="s">
        <v>1127</v>
      </c>
      <c r="D621" s="227">
        <v>0</v>
      </c>
      <c r="E621" s="227">
        <f t="shared" si="20"/>
        <v>0</v>
      </c>
      <c r="F621" s="229" t="e">
        <f t="shared" si="21"/>
        <v>#DIV/0!</v>
      </c>
      <c r="H621" s="227">
        <v>0</v>
      </c>
    </row>
    <row r="622" spans="1:12" x14ac:dyDescent="0.3">
      <c r="A622" s="22" t="s">
        <v>438</v>
      </c>
      <c r="B622" s="22" t="s">
        <v>1129</v>
      </c>
      <c r="D622" s="227">
        <v>0</v>
      </c>
      <c r="E622" s="227">
        <f t="shared" si="20"/>
        <v>0</v>
      </c>
      <c r="F622" s="229" t="e">
        <f t="shared" si="21"/>
        <v>#DIV/0!</v>
      </c>
      <c r="H622" s="227">
        <v>0</v>
      </c>
    </row>
    <row r="623" spans="1:12" x14ac:dyDescent="0.3">
      <c r="A623" s="22" t="s">
        <v>12</v>
      </c>
      <c r="C623" s="227">
        <v>80739</v>
      </c>
      <c r="D623" s="227">
        <v>72872.399999999994</v>
      </c>
      <c r="E623" s="227">
        <f t="shared" si="20"/>
        <v>7866.6000000000058</v>
      </c>
      <c r="F623" s="229">
        <f t="shared" si="21"/>
        <v>0.10795033510629548</v>
      </c>
      <c r="G623" s="227">
        <v>21246</v>
      </c>
      <c r="H623" s="227">
        <v>51626.399999999994</v>
      </c>
    </row>
    <row r="624" spans="1:12" x14ac:dyDescent="0.3">
      <c r="D624" s="227">
        <v>0</v>
      </c>
      <c r="E624" s="227">
        <f t="shared" si="20"/>
        <v>0</v>
      </c>
      <c r="F624" s="229" t="e">
        <f t="shared" si="21"/>
        <v>#DIV/0!</v>
      </c>
    </row>
    <row r="625" spans="1:10" x14ac:dyDescent="0.3">
      <c r="A625" s="22" t="s">
        <v>439</v>
      </c>
      <c r="B625" s="22" t="s">
        <v>2007</v>
      </c>
      <c r="C625" s="227">
        <v>80739</v>
      </c>
      <c r="D625" s="227">
        <v>72872.399999999994</v>
      </c>
      <c r="E625" s="227">
        <f t="shared" si="20"/>
        <v>7866.6000000000058</v>
      </c>
      <c r="F625" s="229">
        <f t="shared" si="21"/>
        <v>0.10795033510629548</v>
      </c>
      <c r="G625" s="227">
        <v>21246</v>
      </c>
      <c r="H625" s="227">
        <v>51626.399999999994</v>
      </c>
    </row>
    <row r="626" spans="1:10" x14ac:dyDescent="0.3">
      <c r="D626" s="227">
        <v>0</v>
      </c>
      <c r="E626" s="227">
        <f t="shared" si="20"/>
        <v>0</v>
      </c>
      <c r="F626" s="229" t="e">
        <f t="shared" si="21"/>
        <v>#DIV/0!</v>
      </c>
    </row>
    <row r="627" spans="1:10" x14ac:dyDescent="0.3">
      <c r="A627" s="22" t="s">
        <v>440</v>
      </c>
      <c r="B627" s="22" t="s">
        <v>602</v>
      </c>
      <c r="C627" s="227">
        <v>3500</v>
      </c>
      <c r="D627" s="227">
        <v>3000</v>
      </c>
      <c r="E627" s="227">
        <f t="shared" si="20"/>
        <v>500</v>
      </c>
      <c r="F627" s="229">
        <f t="shared" si="21"/>
        <v>0.16666666666666666</v>
      </c>
      <c r="G627" s="227">
        <v>3000</v>
      </c>
      <c r="H627" s="227">
        <v>0</v>
      </c>
      <c r="J627" s="22" t="s">
        <v>2236</v>
      </c>
    </row>
    <row r="628" spans="1:10" x14ac:dyDescent="0.3">
      <c r="A628" s="22" t="s">
        <v>12</v>
      </c>
      <c r="C628" s="227">
        <v>3500</v>
      </c>
      <c r="D628" s="227">
        <v>3000</v>
      </c>
      <c r="E628" s="227">
        <f t="shared" si="20"/>
        <v>500</v>
      </c>
      <c r="F628" s="229">
        <f t="shared" si="21"/>
        <v>0.16666666666666666</v>
      </c>
      <c r="G628" s="227">
        <v>3000</v>
      </c>
      <c r="H628" s="227">
        <v>0</v>
      </c>
    </row>
    <row r="629" spans="1:10" x14ac:dyDescent="0.3">
      <c r="D629" s="227">
        <v>0</v>
      </c>
      <c r="E629" s="227">
        <f t="shared" si="20"/>
        <v>0</v>
      </c>
      <c r="F629" s="229" t="e">
        <f t="shared" si="21"/>
        <v>#DIV/0!</v>
      </c>
    </row>
    <row r="630" spans="1:10" x14ac:dyDescent="0.3">
      <c r="A630" s="22" t="s">
        <v>441</v>
      </c>
      <c r="B630" s="22" t="s">
        <v>2008</v>
      </c>
      <c r="C630" s="227">
        <v>3500</v>
      </c>
      <c r="D630" s="227">
        <v>3000</v>
      </c>
      <c r="E630" s="227">
        <f t="shared" si="20"/>
        <v>500</v>
      </c>
      <c r="F630" s="229">
        <f t="shared" si="21"/>
        <v>0.16666666666666666</v>
      </c>
      <c r="G630" s="227">
        <v>3000</v>
      </c>
      <c r="H630" s="227">
        <v>0</v>
      </c>
    </row>
    <row r="631" spans="1:10" x14ac:dyDescent="0.3">
      <c r="D631" s="227">
        <v>0</v>
      </c>
      <c r="E631" s="227">
        <f t="shared" si="20"/>
        <v>0</v>
      </c>
      <c r="F631" s="229" t="e">
        <f t="shared" si="21"/>
        <v>#DIV/0!</v>
      </c>
    </row>
    <row r="632" spans="1:10" x14ac:dyDescent="0.3">
      <c r="A632" s="22" t="s">
        <v>442</v>
      </c>
      <c r="B632" s="22" t="s">
        <v>594</v>
      </c>
      <c r="C632" s="227">
        <v>1560</v>
      </c>
      <c r="D632" s="227">
        <v>1490.53</v>
      </c>
      <c r="E632" s="227">
        <f t="shared" si="20"/>
        <v>69.470000000000027</v>
      </c>
      <c r="F632" s="229">
        <f t="shared" si="21"/>
        <v>4.6607582537755043E-2</v>
      </c>
      <c r="G632" s="227">
        <v>200</v>
      </c>
      <c r="H632" s="227">
        <v>1290.53</v>
      </c>
      <c r="J632" s="22">
        <v>1560</v>
      </c>
    </row>
    <row r="633" spans="1:10" x14ac:dyDescent="0.3">
      <c r="A633" s="22" t="s">
        <v>443</v>
      </c>
      <c r="B633" s="22" t="s">
        <v>1135</v>
      </c>
      <c r="D633" s="227">
        <v>0</v>
      </c>
      <c r="E633" s="227">
        <f t="shared" si="20"/>
        <v>0</v>
      </c>
      <c r="F633" s="229" t="e">
        <f t="shared" si="21"/>
        <v>#DIV/0!</v>
      </c>
    </row>
    <row r="634" spans="1:10" x14ac:dyDescent="0.3">
      <c r="A634" s="22" t="s">
        <v>12</v>
      </c>
      <c r="C634" s="227">
        <v>1560</v>
      </c>
      <c r="D634" s="227">
        <v>1490.53</v>
      </c>
      <c r="E634" s="227">
        <f t="shared" si="20"/>
        <v>69.470000000000027</v>
      </c>
      <c r="F634" s="229">
        <f t="shared" si="21"/>
        <v>4.6607582537755043E-2</v>
      </c>
      <c r="G634" s="227">
        <v>200</v>
      </c>
      <c r="H634" s="227">
        <v>1290.53</v>
      </c>
    </row>
    <row r="635" spans="1:10" x14ac:dyDescent="0.3">
      <c r="D635" s="227">
        <v>0</v>
      </c>
      <c r="E635" s="227">
        <f t="shared" si="20"/>
        <v>0</v>
      </c>
      <c r="F635" s="229" t="e">
        <f t="shared" si="21"/>
        <v>#DIV/0!</v>
      </c>
    </row>
    <row r="636" spans="1:10" x14ac:dyDescent="0.3">
      <c r="A636" s="22" t="s">
        <v>444</v>
      </c>
      <c r="B636" s="22" t="s">
        <v>2009</v>
      </c>
      <c r="C636" s="227">
        <v>1560</v>
      </c>
      <c r="D636" s="227">
        <v>1490.53</v>
      </c>
      <c r="E636" s="227">
        <f t="shared" si="20"/>
        <v>69.470000000000027</v>
      </c>
      <c r="F636" s="229">
        <f t="shared" si="21"/>
        <v>4.6607582537755043E-2</v>
      </c>
      <c r="G636" s="227">
        <v>200</v>
      </c>
      <c r="H636" s="227">
        <v>1290.53</v>
      </c>
    </row>
    <row r="637" spans="1:10" x14ac:dyDescent="0.3">
      <c r="D637" s="227">
        <v>0</v>
      </c>
      <c r="E637" s="227">
        <f t="shared" si="20"/>
        <v>0</v>
      </c>
      <c r="F637" s="229" t="e">
        <f t="shared" si="21"/>
        <v>#DIV/0!</v>
      </c>
    </row>
    <row r="638" spans="1:10" x14ac:dyDescent="0.3">
      <c r="A638" s="22" t="s">
        <v>445</v>
      </c>
      <c r="B638" s="22" t="s">
        <v>606</v>
      </c>
      <c r="C638" s="227">
        <v>5755</v>
      </c>
      <c r="D638" s="227">
        <v>5753.14</v>
      </c>
      <c r="E638" s="227">
        <f t="shared" si="20"/>
        <v>1.8599999999996726</v>
      </c>
      <c r="F638" s="229">
        <f t="shared" si="21"/>
        <v>3.2330171002264372E-4</v>
      </c>
      <c r="H638" s="227">
        <v>5753.14</v>
      </c>
    </row>
    <row r="639" spans="1:10" x14ac:dyDescent="0.3">
      <c r="A639" s="22" t="s">
        <v>12</v>
      </c>
      <c r="C639" s="227">
        <v>5755</v>
      </c>
      <c r="D639" s="227">
        <v>5753.14</v>
      </c>
      <c r="E639" s="227">
        <f t="shared" si="20"/>
        <v>1.8599999999996726</v>
      </c>
      <c r="F639" s="229">
        <f t="shared" si="21"/>
        <v>3.2330171002264372E-4</v>
      </c>
      <c r="G639" s="227">
        <v>0</v>
      </c>
      <c r="H639" s="227">
        <v>5753.14</v>
      </c>
    </row>
    <row r="640" spans="1:10" x14ac:dyDescent="0.3">
      <c r="D640" s="227">
        <v>0</v>
      </c>
      <c r="E640" s="227">
        <f t="shared" si="20"/>
        <v>0</v>
      </c>
      <c r="F640" s="229" t="e">
        <f t="shared" si="21"/>
        <v>#DIV/0!</v>
      </c>
    </row>
    <row r="641" spans="1:10" x14ac:dyDescent="0.3">
      <c r="A641" s="22" t="s">
        <v>446</v>
      </c>
      <c r="B641" s="22" t="s">
        <v>2010</v>
      </c>
      <c r="C641" s="227">
        <v>5755</v>
      </c>
      <c r="D641" s="227">
        <v>5753.14</v>
      </c>
      <c r="E641" s="227">
        <f t="shared" si="20"/>
        <v>1.8599999999996726</v>
      </c>
      <c r="F641" s="229">
        <f t="shared" si="21"/>
        <v>3.2330171002264372E-4</v>
      </c>
      <c r="G641" s="227">
        <v>0</v>
      </c>
      <c r="H641" s="227">
        <v>5753.14</v>
      </c>
    </row>
    <row r="642" spans="1:10" x14ac:dyDescent="0.3">
      <c r="D642" s="227">
        <v>0</v>
      </c>
      <c r="E642" s="227">
        <f t="shared" si="20"/>
        <v>0</v>
      </c>
      <c r="F642" s="229" t="e">
        <f t="shared" si="21"/>
        <v>#DIV/0!</v>
      </c>
    </row>
    <row r="643" spans="1:10" x14ac:dyDescent="0.3">
      <c r="A643" s="22" t="s">
        <v>447</v>
      </c>
      <c r="B643" s="22" t="s">
        <v>586</v>
      </c>
      <c r="C643" s="227">
        <v>3000</v>
      </c>
      <c r="D643" s="227">
        <v>2645.56</v>
      </c>
      <c r="E643" s="227">
        <f t="shared" si="20"/>
        <v>354.44000000000005</v>
      </c>
      <c r="F643" s="229">
        <f t="shared" si="21"/>
        <v>0.13397541541299388</v>
      </c>
      <c r="G643" s="227">
        <v>400</v>
      </c>
      <c r="H643" s="227">
        <v>2245.56</v>
      </c>
    </row>
    <row r="644" spans="1:10" x14ac:dyDescent="0.3">
      <c r="A644" s="22" t="s">
        <v>448</v>
      </c>
      <c r="B644" s="22" t="s">
        <v>588</v>
      </c>
      <c r="C644" s="227">
        <v>250</v>
      </c>
      <c r="D644" s="227">
        <v>166.21</v>
      </c>
      <c r="E644" s="227">
        <f t="shared" si="20"/>
        <v>83.789999999999992</v>
      </c>
      <c r="F644" s="229">
        <f t="shared" si="21"/>
        <v>0.50412129234101433</v>
      </c>
      <c r="G644" s="227">
        <v>0</v>
      </c>
      <c r="H644" s="227">
        <v>166.21</v>
      </c>
    </row>
    <row r="645" spans="1:10" x14ac:dyDescent="0.3">
      <c r="A645" s="22" t="s">
        <v>449</v>
      </c>
      <c r="B645" s="22" t="s">
        <v>590</v>
      </c>
      <c r="C645" s="227">
        <v>2000</v>
      </c>
      <c r="D645" s="227">
        <v>1476.18</v>
      </c>
      <c r="E645" s="227">
        <f t="shared" si="20"/>
        <v>523.81999999999994</v>
      </c>
      <c r="F645" s="229">
        <f t="shared" si="21"/>
        <v>0.3548483247300464</v>
      </c>
      <c r="G645" s="227">
        <v>0</v>
      </c>
      <c r="H645" s="227">
        <v>1476.18</v>
      </c>
    </row>
    <row r="646" spans="1:10" x14ac:dyDescent="0.3">
      <c r="A646" s="22" t="s">
        <v>450</v>
      </c>
      <c r="B646" s="22" t="s">
        <v>592</v>
      </c>
      <c r="C646" s="227">
        <v>0</v>
      </c>
      <c r="D646" s="227">
        <v>0</v>
      </c>
      <c r="E646" s="227">
        <f t="shared" si="20"/>
        <v>0</v>
      </c>
      <c r="F646" s="229" t="e">
        <f t="shared" si="21"/>
        <v>#DIV/0!</v>
      </c>
      <c r="G646" s="227">
        <v>0</v>
      </c>
      <c r="H646" s="227">
        <v>0</v>
      </c>
    </row>
    <row r="647" spans="1:10" x14ac:dyDescent="0.3">
      <c r="A647" s="22" t="s">
        <v>451</v>
      </c>
      <c r="B647" s="22" t="s">
        <v>596</v>
      </c>
      <c r="C647" s="227">
        <v>1000</v>
      </c>
      <c r="D647" s="227">
        <v>852.83</v>
      </c>
      <c r="E647" s="227">
        <f t="shared" si="20"/>
        <v>147.16999999999996</v>
      </c>
      <c r="F647" s="229">
        <f t="shared" si="21"/>
        <v>0.17256663109881212</v>
      </c>
      <c r="G647" s="227">
        <v>0</v>
      </c>
      <c r="H647" s="227">
        <v>852.83</v>
      </c>
    </row>
    <row r="648" spans="1:10" x14ac:dyDescent="0.3">
      <c r="A648" s="22" t="s">
        <v>452</v>
      </c>
      <c r="B648" s="22" t="s">
        <v>612</v>
      </c>
      <c r="C648" s="227">
        <v>400</v>
      </c>
      <c r="D648" s="227">
        <v>246</v>
      </c>
      <c r="E648" s="227">
        <f t="shared" ref="E648:E711" si="22">C648-D648</f>
        <v>154</v>
      </c>
      <c r="F648" s="229">
        <f t="shared" ref="F648:F711" si="23">E648/D648</f>
        <v>0.62601626016260159</v>
      </c>
      <c r="G648" s="227">
        <v>0</v>
      </c>
      <c r="H648" s="227">
        <v>246</v>
      </c>
    </row>
    <row r="649" spans="1:10" x14ac:dyDescent="0.3">
      <c r="A649" s="22" t="s">
        <v>453</v>
      </c>
      <c r="B649" s="22" t="s">
        <v>620</v>
      </c>
      <c r="C649" s="227">
        <v>6000</v>
      </c>
      <c r="D649" s="227">
        <v>5753.68</v>
      </c>
      <c r="E649" s="227">
        <f t="shared" si="22"/>
        <v>246.31999999999971</v>
      </c>
      <c r="F649" s="229">
        <f t="shared" si="23"/>
        <v>4.2810861917937683E-2</v>
      </c>
      <c r="G649" s="227">
        <v>400</v>
      </c>
      <c r="H649" s="227">
        <v>5353.68</v>
      </c>
      <c r="J649" s="22" t="s">
        <v>2237</v>
      </c>
    </row>
    <row r="650" spans="1:10" x14ac:dyDescent="0.3">
      <c r="A650" s="22" t="s">
        <v>454</v>
      </c>
      <c r="B650" s="22" t="s">
        <v>624</v>
      </c>
      <c r="C650" s="227">
        <v>850</v>
      </c>
      <c r="D650" s="227">
        <v>840.4</v>
      </c>
      <c r="E650" s="227">
        <f t="shared" si="22"/>
        <v>9.6000000000000227</v>
      </c>
      <c r="F650" s="229">
        <f t="shared" si="23"/>
        <v>1.1423131841980037E-2</v>
      </c>
      <c r="G650" s="227">
        <v>200</v>
      </c>
      <c r="H650" s="227">
        <v>640.4</v>
      </c>
    </row>
    <row r="651" spans="1:10" x14ac:dyDescent="0.3">
      <c r="A651" s="22" t="s">
        <v>455</v>
      </c>
      <c r="B651" s="22" t="s">
        <v>636</v>
      </c>
      <c r="C651" s="227">
        <v>500</v>
      </c>
      <c r="D651" s="227">
        <v>0</v>
      </c>
      <c r="E651" s="227">
        <f t="shared" si="22"/>
        <v>500</v>
      </c>
      <c r="F651" s="229" t="e">
        <f t="shared" si="23"/>
        <v>#DIV/0!</v>
      </c>
      <c r="G651" s="227">
        <v>0</v>
      </c>
      <c r="H651" s="227">
        <v>0</v>
      </c>
    </row>
    <row r="652" spans="1:10" x14ac:dyDescent="0.3">
      <c r="A652" s="22" t="s">
        <v>2066</v>
      </c>
      <c r="B652" s="22" t="s">
        <v>1110</v>
      </c>
      <c r="C652" s="227">
        <v>500</v>
      </c>
      <c r="D652" s="227">
        <v>805.79</v>
      </c>
      <c r="E652" s="227">
        <f t="shared" si="22"/>
        <v>-305.78999999999996</v>
      </c>
      <c r="F652" s="229">
        <f t="shared" si="23"/>
        <v>-0.37949093436255099</v>
      </c>
      <c r="G652" s="227">
        <v>0</v>
      </c>
      <c r="H652" s="227">
        <v>805.79</v>
      </c>
      <c r="J652" s="22" t="s">
        <v>2238</v>
      </c>
    </row>
    <row r="653" spans="1:10" x14ac:dyDescent="0.3">
      <c r="A653" s="22" t="s">
        <v>12</v>
      </c>
      <c r="C653" s="227">
        <v>14500</v>
      </c>
      <c r="D653" s="227">
        <v>12786.649999999998</v>
      </c>
      <c r="E653" s="227">
        <f t="shared" si="22"/>
        <v>1713.3500000000022</v>
      </c>
      <c r="F653" s="229">
        <f t="shared" si="23"/>
        <v>0.13399522157875615</v>
      </c>
      <c r="G653" s="227">
        <v>1000</v>
      </c>
      <c r="H653" s="227">
        <v>11786.649999999998</v>
      </c>
    </row>
    <row r="654" spans="1:10" x14ac:dyDescent="0.3">
      <c r="D654" s="227">
        <v>0</v>
      </c>
      <c r="E654" s="227">
        <f t="shared" si="22"/>
        <v>0</v>
      </c>
      <c r="F654" s="229" t="e">
        <f t="shared" si="23"/>
        <v>#DIV/0!</v>
      </c>
    </row>
    <row r="655" spans="1:10" x14ac:dyDescent="0.3">
      <c r="A655" s="22" t="s">
        <v>456</v>
      </c>
      <c r="B655" s="22" t="s">
        <v>2011</v>
      </c>
      <c r="C655" s="227">
        <v>14500</v>
      </c>
      <c r="D655" s="227">
        <v>12786.649999999998</v>
      </c>
      <c r="E655" s="227">
        <f t="shared" si="22"/>
        <v>1713.3500000000022</v>
      </c>
      <c r="F655" s="229">
        <f t="shared" si="23"/>
        <v>0.13399522157875615</v>
      </c>
      <c r="G655" s="227">
        <v>1000</v>
      </c>
      <c r="H655" s="227">
        <v>11786.649999999998</v>
      </c>
    </row>
    <row r="656" spans="1:10" x14ac:dyDescent="0.3">
      <c r="D656" s="227">
        <v>0</v>
      </c>
      <c r="E656" s="227">
        <f t="shared" si="22"/>
        <v>0</v>
      </c>
      <c r="F656" s="229" t="e">
        <f t="shared" si="23"/>
        <v>#DIV/0!</v>
      </c>
    </row>
    <row r="657" spans="1:12" x14ac:dyDescent="0.3">
      <c r="A657" s="22" t="s">
        <v>457</v>
      </c>
      <c r="B657" s="22" t="s">
        <v>616</v>
      </c>
      <c r="C657" s="227">
        <v>21044</v>
      </c>
      <c r="D657" s="227">
        <v>17536.75</v>
      </c>
      <c r="E657" s="227">
        <f t="shared" si="22"/>
        <v>3507.25</v>
      </c>
      <c r="F657" s="229">
        <f t="shared" si="23"/>
        <v>0.19999429768913851</v>
      </c>
      <c r="G657" s="227">
        <v>9877</v>
      </c>
      <c r="H657" s="227">
        <v>7659.75</v>
      </c>
      <c r="J657" s="22">
        <v>17537</v>
      </c>
      <c r="K657" s="22">
        <v>9877.25</v>
      </c>
    </row>
    <row r="658" spans="1:12" x14ac:dyDescent="0.3">
      <c r="A658" s="22" t="s">
        <v>12</v>
      </c>
      <c r="C658" s="227">
        <v>21044</v>
      </c>
      <c r="D658" s="227">
        <v>17536.75</v>
      </c>
      <c r="E658" s="227">
        <f t="shared" si="22"/>
        <v>3507.25</v>
      </c>
      <c r="F658" s="229">
        <f t="shared" si="23"/>
        <v>0.19999429768913851</v>
      </c>
      <c r="G658" s="227">
        <v>9877</v>
      </c>
      <c r="H658" s="227">
        <v>7659.75</v>
      </c>
    </row>
    <row r="659" spans="1:12" x14ac:dyDescent="0.3">
      <c r="D659" s="227">
        <v>0</v>
      </c>
      <c r="E659" s="227">
        <f t="shared" si="22"/>
        <v>0</v>
      </c>
      <c r="F659" s="229" t="e">
        <f t="shared" si="23"/>
        <v>#DIV/0!</v>
      </c>
    </row>
    <row r="660" spans="1:12" x14ac:dyDescent="0.3">
      <c r="A660" s="22" t="s">
        <v>458</v>
      </c>
      <c r="B660" s="22" t="s">
        <v>2012</v>
      </c>
      <c r="C660" s="227">
        <v>21044</v>
      </c>
      <c r="D660" s="227">
        <v>17536.75</v>
      </c>
      <c r="E660" s="227">
        <f t="shared" si="22"/>
        <v>3507.25</v>
      </c>
      <c r="F660" s="229">
        <f t="shared" si="23"/>
        <v>0.19999429768913851</v>
      </c>
      <c r="G660" s="227">
        <v>9877</v>
      </c>
      <c r="H660" s="227">
        <v>7659.75</v>
      </c>
    </row>
    <row r="661" spans="1:12" x14ac:dyDescent="0.3">
      <c r="D661" s="227">
        <v>0</v>
      </c>
      <c r="E661" s="227">
        <f t="shared" si="22"/>
        <v>0</v>
      </c>
      <c r="F661" s="229" t="e">
        <f t="shared" si="23"/>
        <v>#DIV/0!</v>
      </c>
    </row>
    <row r="662" spans="1:12" x14ac:dyDescent="0.3">
      <c r="A662" s="22" t="s">
        <v>459</v>
      </c>
      <c r="B662" s="22" t="s">
        <v>610</v>
      </c>
      <c r="C662" s="227">
        <v>5000</v>
      </c>
      <c r="D662" s="227">
        <v>4859.6499999999996</v>
      </c>
      <c r="E662" s="227">
        <f t="shared" si="22"/>
        <v>140.35000000000036</v>
      </c>
      <c r="F662" s="229">
        <f t="shared" si="23"/>
        <v>2.8880680707458434E-2</v>
      </c>
      <c r="G662" s="227">
        <v>800</v>
      </c>
      <c r="H662" s="227">
        <v>4059.65</v>
      </c>
      <c r="J662" s="22" t="s">
        <v>2239</v>
      </c>
      <c r="L662" s="22" t="s">
        <v>2241</v>
      </c>
    </row>
    <row r="663" spans="1:12" x14ac:dyDescent="0.3">
      <c r="A663" s="22" t="s">
        <v>12</v>
      </c>
      <c r="C663" s="227">
        <v>5000</v>
      </c>
      <c r="D663" s="227">
        <v>4859.6499999999996</v>
      </c>
      <c r="E663" s="227">
        <f t="shared" si="22"/>
        <v>140.35000000000036</v>
      </c>
      <c r="F663" s="229">
        <f t="shared" si="23"/>
        <v>2.8880680707458434E-2</v>
      </c>
      <c r="G663" s="227">
        <v>800</v>
      </c>
      <c r="H663" s="227">
        <v>4059.65</v>
      </c>
      <c r="K663" s="22" t="s">
        <v>2240</v>
      </c>
    </row>
    <row r="664" spans="1:12" x14ac:dyDescent="0.3">
      <c r="D664" s="227">
        <v>0</v>
      </c>
      <c r="E664" s="227">
        <f t="shared" si="22"/>
        <v>0</v>
      </c>
      <c r="F664" s="229" t="e">
        <f t="shared" si="23"/>
        <v>#DIV/0!</v>
      </c>
    </row>
    <row r="665" spans="1:12" x14ac:dyDescent="0.3">
      <c r="A665" s="22" t="s">
        <v>460</v>
      </c>
      <c r="B665" s="22" t="s">
        <v>2013</v>
      </c>
      <c r="C665" s="227">
        <v>5000</v>
      </c>
      <c r="D665" s="227">
        <v>4859.6499999999996</v>
      </c>
      <c r="E665" s="227">
        <f t="shared" si="22"/>
        <v>140.35000000000036</v>
      </c>
      <c r="F665" s="229">
        <f t="shared" si="23"/>
        <v>2.8880680707458434E-2</v>
      </c>
      <c r="G665" s="227">
        <v>800</v>
      </c>
      <c r="H665" s="227">
        <v>4059.65</v>
      </c>
    </row>
    <row r="666" spans="1:12" x14ac:dyDescent="0.3">
      <c r="D666" s="227">
        <v>0</v>
      </c>
      <c r="E666" s="227">
        <f t="shared" si="22"/>
        <v>0</v>
      </c>
      <c r="F666" s="229" t="e">
        <f t="shared" si="23"/>
        <v>#DIV/0!</v>
      </c>
    </row>
    <row r="667" spans="1:12" x14ac:dyDescent="0.3">
      <c r="A667" s="22" t="s">
        <v>461</v>
      </c>
      <c r="B667" s="22" t="s">
        <v>598</v>
      </c>
      <c r="C667" s="227">
        <v>1000</v>
      </c>
      <c r="D667" s="227">
        <v>828.35</v>
      </c>
      <c r="E667" s="227">
        <f t="shared" si="22"/>
        <v>171.64999999999998</v>
      </c>
      <c r="F667" s="229">
        <f t="shared" si="23"/>
        <v>0.20721917064042975</v>
      </c>
      <c r="H667" s="227">
        <v>828.35</v>
      </c>
      <c r="J667" s="22" t="s">
        <v>2242</v>
      </c>
    </row>
    <row r="668" spans="1:12" x14ac:dyDescent="0.3">
      <c r="A668" s="22" t="s">
        <v>462</v>
      </c>
      <c r="B668" s="22" t="s">
        <v>622</v>
      </c>
      <c r="C668" s="227">
        <v>10500</v>
      </c>
      <c r="D668" s="227">
        <v>10491.25</v>
      </c>
      <c r="E668" s="227">
        <f t="shared" si="22"/>
        <v>8.75</v>
      </c>
      <c r="F668" s="229">
        <f t="shared" si="23"/>
        <v>8.3402835696413675E-4</v>
      </c>
      <c r="G668" s="227">
        <v>3200</v>
      </c>
      <c r="H668" s="227">
        <v>7291.25</v>
      </c>
      <c r="J668" s="22">
        <v>10500</v>
      </c>
      <c r="K668" s="22">
        <v>3208.75</v>
      </c>
    </row>
    <row r="669" spans="1:12" x14ac:dyDescent="0.3">
      <c r="A669" s="22" t="s">
        <v>12</v>
      </c>
      <c r="C669" s="227">
        <v>11500</v>
      </c>
      <c r="D669" s="227">
        <v>11319.6</v>
      </c>
      <c r="E669" s="227">
        <f t="shared" si="22"/>
        <v>180.39999999999964</v>
      </c>
      <c r="F669" s="229">
        <f t="shared" si="23"/>
        <v>1.593695890314142E-2</v>
      </c>
      <c r="G669" s="227">
        <v>3200</v>
      </c>
      <c r="H669" s="227">
        <v>8119.6</v>
      </c>
    </row>
    <row r="670" spans="1:12" x14ac:dyDescent="0.3">
      <c r="D670" s="227">
        <v>0</v>
      </c>
      <c r="E670" s="227">
        <f t="shared" si="22"/>
        <v>0</v>
      </c>
      <c r="F670" s="229" t="e">
        <f t="shared" si="23"/>
        <v>#DIV/0!</v>
      </c>
    </row>
    <row r="671" spans="1:12" x14ac:dyDescent="0.3">
      <c r="A671" s="22" t="s">
        <v>463</v>
      </c>
      <c r="B671" s="22" t="s">
        <v>2014</v>
      </c>
      <c r="C671" s="227">
        <v>11500</v>
      </c>
      <c r="D671" s="227">
        <v>11319.6</v>
      </c>
      <c r="E671" s="227">
        <f t="shared" si="22"/>
        <v>180.39999999999964</v>
      </c>
      <c r="F671" s="229">
        <f t="shared" si="23"/>
        <v>1.593695890314142E-2</v>
      </c>
      <c r="G671" s="227">
        <v>3200</v>
      </c>
      <c r="H671" s="227">
        <v>8119.6</v>
      </c>
    </row>
    <row r="672" spans="1:12" x14ac:dyDescent="0.3">
      <c r="D672" s="227">
        <v>0</v>
      </c>
      <c r="E672" s="227">
        <f t="shared" si="22"/>
        <v>0</v>
      </c>
      <c r="F672" s="229" t="e">
        <f t="shared" si="23"/>
        <v>#DIV/0!</v>
      </c>
    </row>
    <row r="673" spans="1:10" x14ac:dyDescent="0.3">
      <c r="A673" s="22" t="s">
        <v>464</v>
      </c>
      <c r="B673" s="22" t="s">
        <v>1101</v>
      </c>
      <c r="C673" s="227">
        <v>0</v>
      </c>
      <c r="D673" s="227">
        <v>0</v>
      </c>
      <c r="E673" s="227">
        <f t="shared" si="22"/>
        <v>0</v>
      </c>
      <c r="F673" s="229" t="e">
        <f t="shared" si="23"/>
        <v>#DIV/0!</v>
      </c>
      <c r="G673" s="227">
        <v>0</v>
      </c>
      <c r="H673" s="227">
        <v>0</v>
      </c>
    </row>
    <row r="674" spans="1:10" x14ac:dyDescent="0.3">
      <c r="A674" s="22" t="s">
        <v>12</v>
      </c>
      <c r="C674" s="227">
        <v>0</v>
      </c>
      <c r="D674" s="227">
        <v>0</v>
      </c>
      <c r="E674" s="227">
        <f t="shared" si="22"/>
        <v>0</v>
      </c>
      <c r="F674" s="229" t="e">
        <f t="shared" si="23"/>
        <v>#DIV/0!</v>
      </c>
      <c r="G674" s="227">
        <v>0</v>
      </c>
      <c r="H674" s="227">
        <v>0</v>
      </c>
    </row>
    <row r="675" spans="1:10" x14ac:dyDescent="0.3">
      <c r="D675" s="227">
        <v>0</v>
      </c>
      <c r="E675" s="227">
        <f t="shared" si="22"/>
        <v>0</v>
      </c>
      <c r="F675" s="229" t="e">
        <f t="shared" si="23"/>
        <v>#DIV/0!</v>
      </c>
    </row>
    <row r="676" spans="1:10" x14ac:dyDescent="0.3">
      <c r="A676" s="22" t="s">
        <v>465</v>
      </c>
      <c r="B676" s="22" t="s">
        <v>2015</v>
      </c>
      <c r="C676" s="227">
        <v>0</v>
      </c>
      <c r="D676" s="227">
        <v>0</v>
      </c>
      <c r="E676" s="227">
        <f t="shared" si="22"/>
        <v>0</v>
      </c>
      <c r="F676" s="229" t="e">
        <f t="shared" si="23"/>
        <v>#DIV/0!</v>
      </c>
      <c r="G676" s="227">
        <v>0</v>
      </c>
      <c r="H676" s="227">
        <v>0</v>
      </c>
    </row>
    <row r="677" spans="1:10" x14ac:dyDescent="0.3">
      <c r="D677" s="227">
        <v>0</v>
      </c>
      <c r="E677" s="227">
        <f t="shared" si="22"/>
        <v>0</v>
      </c>
      <c r="F677" s="229" t="e">
        <f t="shared" si="23"/>
        <v>#DIV/0!</v>
      </c>
    </row>
    <row r="678" spans="1:10" x14ac:dyDescent="0.3">
      <c r="A678" s="22" t="s">
        <v>466</v>
      </c>
      <c r="B678" s="22" t="s">
        <v>604</v>
      </c>
      <c r="C678" s="227">
        <v>40000</v>
      </c>
      <c r="D678" s="227">
        <v>37953.4</v>
      </c>
      <c r="E678" s="227">
        <f t="shared" si="22"/>
        <v>2046.5999999999985</v>
      </c>
      <c r="F678" s="229">
        <f t="shared" si="23"/>
        <v>5.3924022617209487E-2</v>
      </c>
      <c r="G678" s="227">
        <v>6000</v>
      </c>
      <c r="H678" s="227">
        <v>31953.4</v>
      </c>
      <c r="J678" s="22" t="s">
        <v>2243</v>
      </c>
    </row>
    <row r="679" spans="1:10" x14ac:dyDescent="0.3">
      <c r="A679" s="22" t="s">
        <v>12</v>
      </c>
      <c r="C679" s="227">
        <v>40000</v>
      </c>
      <c r="D679" s="227">
        <v>37953.4</v>
      </c>
      <c r="E679" s="227">
        <f t="shared" si="22"/>
        <v>2046.5999999999985</v>
      </c>
      <c r="F679" s="229">
        <f t="shared" si="23"/>
        <v>5.3924022617209487E-2</v>
      </c>
      <c r="G679" s="227">
        <v>6000</v>
      </c>
      <c r="H679" s="227">
        <v>31953.4</v>
      </c>
    </row>
    <row r="680" spans="1:10" x14ac:dyDescent="0.3">
      <c r="D680" s="227">
        <v>0</v>
      </c>
      <c r="E680" s="227">
        <f t="shared" si="22"/>
        <v>0</v>
      </c>
      <c r="F680" s="229" t="e">
        <f t="shared" si="23"/>
        <v>#DIV/0!</v>
      </c>
    </row>
    <row r="681" spans="1:10" x14ac:dyDescent="0.3">
      <c r="A681" s="22" t="s">
        <v>467</v>
      </c>
      <c r="B681" s="22" t="s">
        <v>2016</v>
      </c>
      <c r="C681" s="227">
        <v>40000</v>
      </c>
      <c r="D681" s="227">
        <v>37953.4</v>
      </c>
      <c r="E681" s="227">
        <f t="shared" si="22"/>
        <v>2046.5999999999985</v>
      </c>
      <c r="F681" s="229">
        <f t="shared" si="23"/>
        <v>5.3924022617209487E-2</v>
      </c>
      <c r="G681" s="227">
        <v>6000</v>
      </c>
      <c r="H681" s="227">
        <v>31953.4</v>
      </c>
    </row>
    <row r="682" spans="1:10" x14ac:dyDescent="0.3">
      <c r="D682" s="227">
        <v>0</v>
      </c>
      <c r="E682" s="227">
        <f t="shared" si="22"/>
        <v>0</v>
      </c>
      <c r="F682" s="229" t="e">
        <f t="shared" si="23"/>
        <v>#DIV/0!</v>
      </c>
    </row>
    <row r="683" spans="1:10" x14ac:dyDescent="0.3">
      <c r="A683" s="22" t="s">
        <v>468</v>
      </c>
      <c r="B683" s="22" t="s">
        <v>600</v>
      </c>
      <c r="C683" s="227">
        <v>1000</v>
      </c>
      <c r="D683" s="227">
        <v>981.51</v>
      </c>
      <c r="E683" s="227">
        <f t="shared" si="22"/>
        <v>18.490000000000009</v>
      </c>
      <c r="F683" s="229">
        <f t="shared" si="23"/>
        <v>1.883832054691242E-2</v>
      </c>
      <c r="G683" s="227">
        <v>75</v>
      </c>
      <c r="H683" s="227">
        <v>906.51</v>
      </c>
    </row>
    <row r="684" spans="1:10" x14ac:dyDescent="0.3">
      <c r="A684" s="22" t="s">
        <v>469</v>
      </c>
      <c r="B684" s="22" t="s">
        <v>614</v>
      </c>
      <c r="C684" s="227">
        <v>1000</v>
      </c>
      <c r="D684" s="227">
        <v>900</v>
      </c>
      <c r="E684" s="227">
        <f t="shared" si="22"/>
        <v>100</v>
      </c>
      <c r="F684" s="229">
        <f t="shared" si="23"/>
        <v>0.1111111111111111</v>
      </c>
      <c r="H684" s="227">
        <v>900</v>
      </c>
    </row>
    <row r="685" spans="1:10" x14ac:dyDescent="0.3">
      <c r="A685" s="22" t="s">
        <v>470</v>
      </c>
      <c r="B685" s="22" t="s">
        <v>618</v>
      </c>
      <c r="C685" s="227">
        <v>500</v>
      </c>
      <c r="D685" s="227">
        <v>359.06</v>
      </c>
      <c r="E685" s="227">
        <f t="shared" si="22"/>
        <v>140.94</v>
      </c>
      <c r="F685" s="229">
        <f t="shared" si="23"/>
        <v>0.3925249261961789</v>
      </c>
      <c r="H685" s="227">
        <v>359.06</v>
      </c>
    </row>
    <row r="686" spans="1:10" x14ac:dyDescent="0.3">
      <c r="A686" s="22" t="s">
        <v>471</v>
      </c>
      <c r="B686" s="22" t="s">
        <v>626</v>
      </c>
      <c r="C686" s="227">
        <v>100</v>
      </c>
      <c r="D686" s="227">
        <v>75</v>
      </c>
      <c r="E686" s="227">
        <f t="shared" si="22"/>
        <v>25</v>
      </c>
      <c r="F686" s="229">
        <f t="shared" si="23"/>
        <v>0.33333333333333331</v>
      </c>
      <c r="H686" s="227">
        <v>75</v>
      </c>
    </row>
    <row r="687" spans="1:10" x14ac:dyDescent="0.3">
      <c r="A687" s="22" t="s">
        <v>472</v>
      </c>
      <c r="B687" s="22" t="s">
        <v>1131</v>
      </c>
      <c r="D687" s="227">
        <v>0</v>
      </c>
      <c r="E687" s="227">
        <f t="shared" si="22"/>
        <v>0</v>
      </c>
      <c r="F687" s="229" t="e">
        <f t="shared" si="23"/>
        <v>#DIV/0!</v>
      </c>
      <c r="H687" s="227">
        <v>0</v>
      </c>
    </row>
    <row r="688" spans="1:10" x14ac:dyDescent="0.3">
      <c r="A688" s="22" t="s">
        <v>2067</v>
      </c>
      <c r="B688" s="22" t="s">
        <v>1100</v>
      </c>
      <c r="D688" s="227">
        <v>27.32</v>
      </c>
      <c r="E688" s="227">
        <f t="shared" si="22"/>
        <v>-27.32</v>
      </c>
      <c r="F688" s="229">
        <f t="shared" si="23"/>
        <v>-1</v>
      </c>
      <c r="H688" s="227">
        <v>27.32</v>
      </c>
    </row>
    <row r="689" spans="1:8" x14ac:dyDescent="0.3">
      <c r="A689" s="22" t="s">
        <v>12</v>
      </c>
      <c r="C689" s="227">
        <v>2600</v>
      </c>
      <c r="D689" s="227">
        <v>2342.8900000000003</v>
      </c>
      <c r="E689" s="227">
        <f t="shared" si="22"/>
        <v>257.10999999999967</v>
      </c>
      <c r="F689" s="229">
        <f t="shared" si="23"/>
        <v>0.10974053412665538</v>
      </c>
      <c r="G689" s="227">
        <v>75</v>
      </c>
      <c r="H689" s="227">
        <v>2267.8900000000003</v>
      </c>
    </row>
    <row r="690" spans="1:8" x14ac:dyDescent="0.3">
      <c r="D690" s="227">
        <v>0</v>
      </c>
      <c r="E690" s="227">
        <f t="shared" si="22"/>
        <v>0</v>
      </c>
      <c r="F690" s="229" t="e">
        <f t="shared" si="23"/>
        <v>#DIV/0!</v>
      </c>
    </row>
    <row r="691" spans="1:8" x14ac:dyDescent="0.3">
      <c r="A691" s="22" t="s">
        <v>473</v>
      </c>
      <c r="B691" s="22" t="s">
        <v>2017</v>
      </c>
      <c r="C691" s="227">
        <v>2600</v>
      </c>
      <c r="D691" s="227">
        <v>2342.8900000000003</v>
      </c>
      <c r="E691" s="227">
        <f t="shared" si="22"/>
        <v>257.10999999999967</v>
      </c>
      <c r="F691" s="229">
        <f t="shared" si="23"/>
        <v>0.10974053412665538</v>
      </c>
      <c r="G691" s="227">
        <v>75</v>
      </c>
      <c r="H691" s="227">
        <v>2267.8900000000003</v>
      </c>
    </row>
    <row r="692" spans="1:8" x14ac:dyDescent="0.3">
      <c r="D692" s="227">
        <v>0</v>
      </c>
      <c r="E692" s="227">
        <f t="shared" si="22"/>
        <v>0</v>
      </c>
      <c r="F692" s="229" t="e">
        <f t="shared" si="23"/>
        <v>#DIV/0!</v>
      </c>
    </row>
    <row r="693" spans="1:8" x14ac:dyDescent="0.3">
      <c r="A693" s="22" t="s">
        <v>474</v>
      </c>
      <c r="B693" s="22" t="s">
        <v>632</v>
      </c>
      <c r="C693" s="227">
        <v>25000</v>
      </c>
      <c r="D693" s="227">
        <v>25092.73</v>
      </c>
      <c r="E693" s="227">
        <f t="shared" si="22"/>
        <v>-92.729999999999563</v>
      </c>
      <c r="F693" s="229">
        <f t="shared" si="23"/>
        <v>-3.6954926785566803E-3</v>
      </c>
      <c r="G693" s="227">
        <v>1800</v>
      </c>
      <c r="H693" s="227">
        <v>23292.73</v>
      </c>
    </row>
    <row r="694" spans="1:8" x14ac:dyDescent="0.3">
      <c r="A694" s="22" t="s">
        <v>475</v>
      </c>
      <c r="B694" s="22" t="s">
        <v>1133</v>
      </c>
      <c r="D694" s="227">
        <v>10.58</v>
      </c>
      <c r="E694" s="227">
        <f t="shared" si="22"/>
        <v>-10.58</v>
      </c>
      <c r="F694" s="229">
        <f t="shared" si="23"/>
        <v>-1</v>
      </c>
      <c r="H694" s="227">
        <v>10.58</v>
      </c>
    </row>
    <row r="695" spans="1:8" x14ac:dyDescent="0.3">
      <c r="A695" s="22" t="s">
        <v>12</v>
      </c>
      <c r="C695" s="227">
        <v>25000</v>
      </c>
      <c r="D695" s="227">
        <v>25103.31</v>
      </c>
      <c r="E695" s="227">
        <f t="shared" si="22"/>
        <v>-103.31000000000131</v>
      </c>
      <c r="F695" s="229">
        <f t="shared" si="23"/>
        <v>-4.1153935477035225E-3</v>
      </c>
      <c r="G695" s="227">
        <v>1800</v>
      </c>
      <c r="H695" s="227">
        <v>23303.31</v>
      </c>
    </row>
    <row r="696" spans="1:8" x14ac:dyDescent="0.3">
      <c r="D696" s="227">
        <v>0</v>
      </c>
      <c r="E696" s="227">
        <f t="shared" si="22"/>
        <v>0</v>
      </c>
      <c r="F696" s="229" t="e">
        <f t="shared" si="23"/>
        <v>#DIV/0!</v>
      </c>
    </row>
    <row r="697" spans="1:8" x14ac:dyDescent="0.3">
      <c r="A697" s="22" t="s">
        <v>476</v>
      </c>
      <c r="B697" s="22" t="s">
        <v>2018</v>
      </c>
      <c r="C697" s="227">
        <v>25000</v>
      </c>
      <c r="D697" s="227">
        <v>25103.31</v>
      </c>
      <c r="E697" s="227">
        <f t="shared" si="22"/>
        <v>-103.31000000000131</v>
      </c>
      <c r="F697" s="229">
        <f t="shared" si="23"/>
        <v>-4.1153935477035225E-3</v>
      </c>
      <c r="G697" s="227">
        <v>1800</v>
      </c>
      <c r="H697" s="227">
        <v>23303.31</v>
      </c>
    </row>
    <row r="698" spans="1:8" x14ac:dyDescent="0.3">
      <c r="D698" s="227">
        <v>0</v>
      </c>
      <c r="E698" s="227">
        <f t="shared" si="22"/>
        <v>0</v>
      </c>
      <c r="F698" s="229" t="e">
        <f t="shared" si="23"/>
        <v>#DIV/0!</v>
      </c>
    </row>
    <row r="699" spans="1:8" x14ac:dyDescent="0.3">
      <c r="A699" s="22" t="s">
        <v>477</v>
      </c>
      <c r="B699" s="22" t="s">
        <v>608</v>
      </c>
      <c r="C699" s="227">
        <v>15000</v>
      </c>
      <c r="D699" s="227">
        <v>13146.61</v>
      </c>
      <c r="E699" s="227">
        <f t="shared" si="22"/>
        <v>1853.3899999999994</v>
      </c>
      <c r="F699" s="229">
        <f t="shared" si="23"/>
        <v>0.14097854884262934</v>
      </c>
      <c r="G699" s="227">
        <v>2000</v>
      </c>
      <c r="H699" s="227">
        <v>11146.61</v>
      </c>
    </row>
    <row r="700" spans="1:8" x14ac:dyDescent="0.3">
      <c r="A700" s="22" t="s">
        <v>478</v>
      </c>
      <c r="B700" s="22" t="s">
        <v>634</v>
      </c>
      <c r="C700" s="227">
        <v>1200</v>
      </c>
      <c r="D700" s="227">
        <v>971.64</v>
      </c>
      <c r="E700" s="227">
        <f t="shared" si="22"/>
        <v>228.36</v>
      </c>
      <c r="F700" s="229">
        <f t="shared" si="23"/>
        <v>0.23502531801901941</v>
      </c>
      <c r="G700" s="227">
        <v>0</v>
      </c>
      <c r="H700" s="227">
        <v>971.64</v>
      </c>
    </row>
    <row r="701" spans="1:8" x14ac:dyDescent="0.3">
      <c r="A701" s="22" t="s">
        <v>12</v>
      </c>
      <c r="C701" s="227">
        <v>16200</v>
      </c>
      <c r="D701" s="227">
        <v>14118.25</v>
      </c>
      <c r="E701" s="227">
        <f t="shared" si="22"/>
        <v>2081.75</v>
      </c>
      <c r="F701" s="229">
        <f t="shared" si="23"/>
        <v>0.14745099428045261</v>
      </c>
      <c r="G701" s="227">
        <v>2000</v>
      </c>
      <c r="H701" s="227">
        <v>12118.25</v>
      </c>
    </row>
    <row r="702" spans="1:8" x14ac:dyDescent="0.3">
      <c r="D702" s="227">
        <v>0</v>
      </c>
      <c r="E702" s="227">
        <f t="shared" si="22"/>
        <v>0</v>
      </c>
      <c r="F702" s="229" t="e">
        <f t="shared" si="23"/>
        <v>#DIV/0!</v>
      </c>
    </row>
    <row r="703" spans="1:8" x14ac:dyDescent="0.3">
      <c r="A703" s="22" t="s">
        <v>479</v>
      </c>
      <c r="B703" s="22" t="s">
        <v>2019</v>
      </c>
      <c r="C703" s="227">
        <v>16200</v>
      </c>
      <c r="D703" s="227">
        <v>14118.25</v>
      </c>
      <c r="E703" s="227">
        <f t="shared" si="22"/>
        <v>2081.75</v>
      </c>
      <c r="F703" s="229">
        <f t="shared" si="23"/>
        <v>0.14745099428045261</v>
      </c>
      <c r="G703" s="227">
        <v>2000</v>
      </c>
      <c r="H703" s="227">
        <v>12118.25</v>
      </c>
    </row>
    <row r="704" spans="1:8" x14ac:dyDescent="0.3">
      <c r="D704" s="227">
        <v>0</v>
      </c>
      <c r="E704" s="227">
        <f t="shared" si="22"/>
        <v>0</v>
      </c>
      <c r="F704" s="229" t="e">
        <f t="shared" si="23"/>
        <v>#DIV/0!</v>
      </c>
    </row>
    <row r="705" spans="1:10" x14ac:dyDescent="0.3">
      <c r="A705" s="22" t="s">
        <v>480</v>
      </c>
      <c r="B705" s="22" t="s">
        <v>628</v>
      </c>
      <c r="C705" s="227">
        <v>22000</v>
      </c>
      <c r="D705" s="227">
        <v>20070.68</v>
      </c>
      <c r="E705" s="227">
        <f t="shared" si="22"/>
        <v>1929.3199999999997</v>
      </c>
      <c r="F705" s="229">
        <f t="shared" si="23"/>
        <v>9.6126289692227654E-2</v>
      </c>
      <c r="G705" s="227">
        <v>5000</v>
      </c>
      <c r="H705" s="227">
        <v>15070.68</v>
      </c>
      <c r="J705" s="22" t="s">
        <v>2244</v>
      </c>
    </row>
    <row r="706" spans="1:10" x14ac:dyDescent="0.3">
      <c r="A706" s="22" t="s">
        <v>12</v>
      </c>
      <c r="C706" s="227">
        <v>22000</v>
      </c>
      <c r="D706" s="227">
        <v>20070.68</v>
      </c>
      <c r="E706" s="227">
        <f t="shared" si="22"/>
        <v>1929.3199999999997</v>
      </c>
      <c r="F706" s="229">
        <f t="shared" si="23"/>
        <v>9.6126289692227654E-2</v>
      </c>
      <c r="G706" s="227">
        <v>5000</v>
      </c>
      <c r="H706" s="227">
        <v>15070.68</v>
      </c>
    </row>
    <row r="707" spans="1:10" x14ac:dyDescent="0.3">
      <c r="D707" s="227">
        <v>0</v>
      </c>
      <c r="E707" s="227">
        <f t="shared" si="22"/>
        <v>0</v>
      </c>
      <c r="F707" s="229" t="e">
        <f t="shared" si="23"/>
        <v>#DIV/0!</v>
      </c>
    </row>
    <row r="708" spans="1:10" x14ac:dyDescent="0.3">
      <c r="A708" s="22" t="s">
        <v>481</v>
      </c>
      <c r="B708" s="22" t="s">
        <v>2020</v>
      </c>
      <c r="C708" s="227">
        <v>22000</v>
      </c>
      <c r="D708" s="227">
        <v>20070.68</v>
      </c>
      <c r="E708" s="227">
        <f t="shared" si="22"/>
        <v>1929.3199999999997</v>
      </c>
      <c r="F708" s="229">
        <f t="shared" si="23"/>
        <v>9.6126289692227654E-2</v>
      </c>
      <c r="G708" s="227">
        <v>5000</v>
      </c>
      <c r="H708" s="227">
        <v>15070.68</v>
      </c>
    </row>
    <row r="709" spans="1:10" x14ac:dyDescent="0.3">
      <c r="D709" s="227">
        <v>0</v>
      </c>
      <c r="E709" s="227">
        <f t="shared" si="22"/>
        <v>0</v>
      </c>
      <c r="F709" s="229" t="e">
        <f t="shared" si="23"/>
        <v>#DIV/0!</v>
      </c>
      <c r="H709" s="227">
        <v>0</v>
      </c>
    </row>
    <row r="710" spans="1:10" x14ac:dyDescent="0.3">
      <c r="A710" s="22" t="s">
        <v>482</v>
      </c>
      <c r="B710" s="22" t="s">
        <v>548</v>
      </c>
      <c r="D710" s="227">
        <v>-11339.63</v>
      </c>
      <c r="E710" s="227">
        <f t="shared" si="22"/>
        <v>11339.63</v>
      </c>
      <c r="F710" s="229">
        <f t="shared" si="23"/>
        <v>-1</v>
      </c>
      <c r="H710" s="227">
        <v>-11339.63</v>
      </c>
    </row>
    <row r="711" spans="1:10" x14ac:dyDescent="0.3">
      <c r="A711" s="22" t="s">
        <v>483</v>
      </c>
      <c r="B711" s="22" t="s">
        <v>702</v>
      </c>
      <c r="D711" s="227">
        <v>-451.88</v>
      </c>
      <c r="E711" s="227">
        <f t="shared" si="22"/>
        <v>451.88</v>
      </c>
      <c r="F711" s="229">
        <f t="shared" si="23"/>
        <v>-1</v>
      </c>
      <c r="H711" s="227">
        <v>-451.88</v>
      </c>
    </row>
    <row r="712" spans="1:10" x14ac:dyDescent="0.3">
      <c r="A712" s="22" t="s">
        <v>484</v>
      </c>
      <c r="B712" s="22" t="s">
        <v>550</v>
      </c>
      <c r="D712" s="227">
        <v>0</v>
      </c>
      <c r="E712" s="227">
        <f t="shared" ref="E712:E766" si="24">C712-D712</f>
        <v>0</v>
      </c>
      <c r="F712" s="229" t="e">
        <f t="shared" ref="F712:F766" si="25">E712/D712</f>
        <v>#DIV/0!</v>
      </c>
      <c r="H712" s="227">
        <v>0</v>
      </c>
    </row>
    <row r="713" spans="1:10" x14ac:dyDescent="0.3">
      <c r="A713" s="22" t="s">
        <v>485</v>
      </c>
      <c r="B713" s="22" t="s">
        <v>705</v>
      </c>
      <c r="D713" s="227">
        <v>-2963.34</v>
      </c>
      <c r="E713" s="227">
        <f t="shared" si="24"/>
        <v>2963.34</v>
      </c>
      <c r="F713" s="229">
        <f t="shared" si="25"/>
        <v>-1</v>
      </c>
      <c r="H713" s="227">
        <v>-2963.34</v>
      </c>
    </row>
    <row r="714" spans="1:10" x14ac:dyDescent="0.3">
      <c r="A714" s="22" t="s">
        <v>486</v>
      </c>
      <c r="B714" s="22" t="s">
        <v>706</v>
      </c>
      <c r="D714" s="227">
        <v>-21894.28</v>
      </c>
      <c r="E714" s="227">
        <f t="shared" si="24"/>
        <v>21894.28</v>
      </c>
      <c r="F714" s="229">
        <f t="shared" si="25"/>
        <v>-1</v>
      </c>
      <c r="H714" s="227">
        <v>-21894.28</v>
      </c>
    </row>
    <row r="715" spans="1:10" x14ac:dyDescent="0.3">
      <c r="A715" s="22" t="s">
        <v>487</v>
      </c>
      <c r="B715" s="22" t="s">
        <v>552</v>
      </c>
      <c r="D715" s="227">
        <v>-110.16</v>
      </c>
      <c r="E715" s="227">
        <f t="shared" si="24"/>
        <v>110.16</v>
      </c>
      <c r="F715" s="229">
        <f t="shared" si="25"/>
        <v>-1</v>
      </c>
      <c r="H715" s="227">
        <v>-110.16</v>
      </c>
    </row>
    <row r="716" spans="1:10" x14ac:dyDescent="0.3">
      <c r="A716" s="22" t="s">
        <v>488</v>
      </c>
      <c r="B716" s="22" t="s">
        <v>1010</v>
      </c>
      <c r="D716" s="227">
        <v>0</v>
      </c>
      <c r="E716" s="227">
        <f t="shared" si="24"/>
        <v>0</v>
      </c>
      <c r="F716" s="229" t="e">
        <f t="shared" si="25"/>
        <v>#DIV/0!</v>
      </c>
      <c r="H716" s="227">
        <v>0</v>
      </c>
    </row>
    <row r="717" spans="1:10" x14ac:dyDescent="0.3">
      <c r="A717" s="22" t="s">
        <v>489</v>
      </c>
      <c r="B717" s="22" t="s">
        <v>1012</v>
      </c>
      <c r="D717" s="227">
        <v>0.01</v>
      </c>
      <c r="E717" s="227">
        <f t="shared" si="24"/>
        <v>-0.01</v>
      </c>
      <c r="F717" s="229">
        <f t="shared" si="25"/>
        <v>-1</v>
      </c>
      <c r="H717" s="227">
        <v>0.01</v>
      </c>
    </row>
    <row r="718" spans="1:10" x14ac:dyDescent="0.3">
      <c r="A718" s="22" t="s">
        <v>490</v>
      </c>
      <c r="B718" s="22" t="s">
        <v>1014</v>
      </c>
      <c r="D718" s="227">
        <v>0</v>
      </c>
      <c r="E718" s="227">
        <f t="shared" si="24"/>
        <v>0</v>
      </c>
      <c r="F718" s="229" t="e">
        <f t="shared" si="25"/>
        <v>#DIV/0!</v>
      </c>
      <c r="H718" s="227">
        <v>0</v>
      </c>
    </row>
    <row r="719" spans="1:10" x14ac:dyDescent="0.3">
      <c r="A719" s="22" t="s">
        <v>5</v>
      </c>
      <c r="C719" s="227">
        <v>0</v>
      </c>
      <c r="D719" s="227">
        <v>-36759.279999999999</v>
      </c>
      <c r="E719" s="227">
        <f t="shared" si="24"/>
        <v>36759.279999999999</v>
      </c>
      <c r="F719" s="229">
        <f t="shared" si="25"/>
        <v>-1</v>
      </c>
      <c r="G719" s="227">
        <v>0</v>
      </c>
      <c r="H719" s="227">
        <v>-36759.279999999999</v>
      </c>
    </row>
    <row r="720" spans="1:10" x14ac:dyDescent="0.3">
      <c r="D720" s="227">
        <v>0</v>
      </c>
      <c r="E720" s="227">
        <f t="shared" si="24"/>
        <v>0</v>
      </c>
      <c r="F720" s="229" t="e">
        <f t="shared" si="25"/>
        <v>#DIV/0!</v>
      </c>
      <c r="H720" s="227">
        <v>0</v>
      </c>
    </row>
    <row r="721" spans="1:8" x14ac:dyDescent="0.3">
      <c r="A721" s="22" t="s">
        <v>491</v>
      </c>
      <c r="B721" s="22" t="s">
        <v>1594</v>
      </c>
      <c r="D721" s="227">
        <v>-13966.8</v>
      </c>
      <c r="E721" s="227">
        <f t="shared" si="24"/>
        <v>13966.8</v>
      </c>
      <c r="F721" s="229">
        <f t="shared" si="25"/>
        <v>-1</v>
      </c>
      <c r="H721" s="227">
        <v>-13966.8</v>
      </c>
    </row>
    <row r="722" spans="1:8" x14ac:dyDescent="0.3">
      <c r="A722" s="22" t="s">
        <v>492</v>
      </c>
      <c r="B722" s="22" t="s">
        <v>1595</v>
      </c>
      <c r="D722" s="227">
        <v>-247.5</v>
      </c>
      <c r="E722" s="227">
        <f t="shared" si="24"/>
        <v>247.5</v>
      </c>
      <c r="F722" s="229">
        <f t="shared" si="25"/>
        <v>-1</v>
      </c>
      <c r="H722" s="227">
        <v>-247.5</v>
      </c>
    </row>
    <row r="723" spans="1:8" x14ac:dyDescent="0.3">
      <c r="A723" s="22" t="s">
        <v>493</v>
      </c>
      <c r="B723" s="22" t="s">
        <v>709</v>
      </c>
      <c r="D723" s="227">
        <v>-1666.06</v>
      </c>
      <c r="E723" s="227">
        <f t="shared" si="24"/>
        <v>1666.06</v>
      </c>
      <c r="F723" s="229">
        <f t="shared" si="25"/>
        <v>-1</v>
      </c>
      <c r="H723" s="227">
        <v>-1666.06</v>
      </c>
    </row>
    <row r="724" spans="1:8" x14ac:dyDescent="0.3">
      <c r="A724" s="22" t="s">
        <v>8</v>
      </c>
      <c r="C724" s="227">
        <v>0</v>
      </c>
      <c r="D724" s="227">
        <v>-15880.359999999999</v>
      </c>
      <c r="E724" s="227">
        <f t="shared" si="24"/>
        <v>15880.359999999999</v>
      </c>
      <c r="F724" s="229">
        <f t="shared" si="25"/>
        <v>-1</v>
      </c>
      <c r="G724" s="227">
        <v>0</v>
      </c>
      <c r="H724" s="227">
        <v>-15880.359999999999</v>
      </c>
    </row>
    <row r="725" spans="1:8" x14ac:dyDescent="0.3">
      <c r="D725" s="227">
        <v>0</v>
      </c>
      <c r="E725" s="227">
        <f t="shared" si="24"/>
        <v>0</v>
      </c>
      <c r="F725" s="229" t="e">
        <f t="shared" si="25"/>
        <v>#DIV/0!</v>
      </c>
      <c r="H725" s="227">
        <v>0</v>
      </c>
    </row>
    <row r="726" spans="1:8" x14ac:dyDescent="0.3">
      <c r="A726" s="22" t="s">
        <v>494</v>
      </c>
      <c r="B726" s="22" t="s">
        <v>548</v>
      </c>
      <c r="D726" s="227">
        <v>-7378.49</v>
      </c>
      <c r="E726" s="227">
        <f t="shared" si="24"/>
        <v>7378.49</v>
      </c>
      <c r="F726" s="229">
        <f t="shared" si="25"/>
        <v>-1</v>
      </c>
      <c r="H726" s="227">
        <v>-7378.49</v>
      </c>
    </row>
    <row r="727" spans="1:8" x14ac:dyDescent="0.3">
      <c r="A727" s="22" t="s">
        <v>495</v>
      </c>
      <c r="B727" s="22" t="s">
        <v>550</v>
      </c>
      <c r="D727" s="227">
        <v>-1237.6300000000001</v>
      </c>
      <c r="E727" s="227">
        <f t="shared" si="24"/>
        <v>1237.6300000000001</v>
      </c>
      <c r="F727" s="229">
        <f t="shared" si="25"/>
        <v>-1</v>
      </c>
      <c r="H727" s="227">
        <v>-1237.6300000000001</v>
      </c>
    </row>
    <row r="728" spans="1:8" x14ac:dyDescent="0.3">
      <c r="A728" s="22" t="s">
        <v>12</v>
      </c>
      <c r="C728" s="227">
        <v>0</v>
      </c>
      <c r="D728" s="227">
        <v>-8616.119999999999</v>
      </c>
      <c r="E728" s="227">
        <f t="shared" si="24"/>
        <v>8616.119999999999</v>
      </c>
      <c r="F728" s="229">
        <f t="shared" si="25"/>
        <v>-1</v>
      </c>
      <c r="G728" s="227">
        <v>0</v>
      </c>
      <c r="H728" s="227">
        <v>-8616.119999999999</v>
      </c>
    </row>
    <row r="729" spans="1:8" x14ac:dyDescent="0.3">
      <c r="D729" s="227">
        <v>0</v>
      </c>
      <c r="E729" s="227">
        <f t="shared" si="24"/>
        <v>0</v>
      </c>
      <c r="F729" s="229" t="e">
        <f t="shared" si="25"/>
        <v>#DIV/0!</v>
      </c>
      <c r="H729" s="227">
        <v>0</v>
      </c>
    </row>
    <row r="730" spans="1:8" x14ac:dyDescent="0.3">
      <c r="A730" s="22" t="s">
        <v>496</v>
      </c>
      <c r="B730" s="22" t="s">
        <v>2317</v>
      </c>
      <c r="C730" s="227">
        <v>0</v>
      </c>
      <c r="D730" s="227">
        <v>-61255.759999999995</v>
      </c>
      <c r="E730" s="227">
        <f t="shared" si="24"/>
        <v>61255.759999999995</v>
      </c>
      <c r="F730" s="229">
        <f t="shared" si="25"/>
        <v>-1</v>
      </c>
      <c r="G730" s="227">
        <v>0</v>
      </c>
      <c r="H730" s="227">
        <v>-61255.759999999995</v>
      </c>
    </row>
    <row r="731" spans="1:8" x14ac:dyDescent="0.3">
      <c r="D731" s="227">
        <v>0</v>
      </c>
      <c r="E731" s="227">
        <f t="shared" si="24"/>
        <v>0</v>
      </c>
      <c r="F731" s="229" t="e">
        <f t="shared" si="25"/>
        <v>#DIV/0!</v>
      </c>
    </row>
    <row r="732" spans="1:8" x14ac:dyDescent="0.3">
      <c r="A732" s="22" t="s">
        <v>497</v>
      </c>
      <c r="B732" s="22" t="s">
        <v>709</v>
      </c>
      <c r="D732" s="227">
        <v>-436879.25</v>
      </c>
      <c r="E732" s="227">
        <f t="shared" si="24"/>
        <v>436879.25</v>
      </c>
      <c r="F732" s="229">
        <f t="shared" si="25"/>
        <v>-1</v>
      </c>
      <c r="H732" s="227">
        <v>-436879.25</v>
      </c>
    </row>
    <row r="733" spans="1:8" x14ac:dyDescent="0.3">
      <c r="A733" s="22" t="s">
        <v>498</v>
      </c>
      <c r="B733" s="22" t="s">
        <v>711</v>
      </c>
      <c r="D733" s="227">
        <v>-16502.8</v>
      </c>
      <c r="E733" s="227">
        <f t="shared" si="24"/>
        <v>16502.8</v>
      </c>
      <c r="F733" s="229">
        <f t="shared" si="25"/>
        <v>-1</v>
      </c>
      <c r="H733" s="227">
        <v>-16502.8</v>
      </c>
    </row>
    <row r="734" spans="1:8" x14ac:dyDescent="0.3">
      <c r="A734" s="22" t="s">
        <v>499</v>
      </c>
      <c r="B734" s="22" t="s">
        <v>713</v>
      </c>
      <c r="D734" s="227">
        <v>-131440</v>
      </c>
      <c r="E734" s="227">
        <f t="shared" si="24"/>
        <v>131440</v>
      </c>
      <c r="F734" s="229">
        <f t="shared" si="25"/>
        <v>-1</v>
      </c>
      <c r="H734" s="227">
        <v>-131440</v>
      </c>
    </row>
    <row r="735" spans="1:8" x14ac:dyDescent="0.3">
      <c r="A735" s="22" t="s">
        <v>5</v>
      </c>
      <c r="C735" s="227">
        <v>0</v>
      </c>
      <c r="D735" s="227">
        <v>-584822.05000000005</v>
      </c>
      <c r="E735" s="227">
        <f t="shared" si="24"/>
        <v>584822.05000000005</v>
      </c>
      <c r="F735" s="229">
        <f t="shared" si="25"/>
        <v>-1</v>
      </c>
      <c r="G735" s="227">
        <v>0</v>
      </c>
      <c r="H735" s="227">
        <v>-584822.05000000005</v>
      </c>
    </row>
    <row r="736" spans="1:8" x14ac:dyDescent="0.3">
      <c r="D736" s="227">
        <v>0</v>
      </c>
      <c r="E736" s="227">
        <f t="shared" si="24"/>
        <v>0</v>
      </c>
      <c r="F736" s="229" t="e">
        <f t="shared" si="25"/>
        <v>#DIV/0!</v>
      </c>
    </row>
    <row r="737" spans="1:14" x14ac:dyDescent="0.3">
      <c r="A737" s="22" t="s">
        <v>500</v>
      </c>
      <c r="B737" s="22" t="s">
        <v>1603</v>
      </c>
      <c r="D737" s="227">
        <v>0</v>
      </c>
      <c r="E737" s="227">
        <f t="shared" si="24"/>
        <v>0</v>
      </c>
      <c r="F737" s="229" t="e">
        <f t="shared" si="25"/>
        <v>#DIV/0!</v>
      </c>
      <c r="H737" s="227">
        <v>0</v>
      </c>
    </row>
    <row r="738" spans="1:14" x14ac:dyDescent="0.3">
      <c r="A738" s="22" t="s">
        <v>8</v>
      </c>
      <c r="C738" s="227">
        <v>0</v>
      </c>
      <c r="D738" s="227">
        <v>0</v>
      </c>
      <c r="E738" s="227">
        <f t="shared" si="24"/>
        <v>0</v>
      </c>
      <c r="F738" s="229" t="e">
        <f t="shared" si="25"/>
        <v>#DIV/0!</v>
      </c>
      <c r="G738" s="227">
        <v>0</v>
      </c>
      <c r="H738" s="227">
        <v>0</v>
      </c>
    </row>
    <row r="739" spans="1:14" x14ac:dyDescent="0.3">
      <c r="D739" s="227">
        <v>0</v>
      </c>
      <c r="E739" s="227">
        <f t="shared" si="24"/>
        <v>0</v>
      </c>
      <c r="F739" s="229" t="e">
        <f t="shared" si="25"/>
        <v>#DIV/0!</v>
      </c>
    </row>
    <row r="740" spans="1:14" x14ac:dyDescent="0.3">
      <c r="A740" s="22" t="s">
        <v>501</v>
      </c>
      <c r="B740" s="22" t="s">
        <v>2318</v>
      </c>
      <c r="C740" s="227">
        <v>0</v>
      </c>
      <c r="D740" s="227">
        <v>-584822.05000000005</v>
      </c>
      <c r="E740" s="227">
        <f t="shared" si="24"/>
        <v>584822.05000000005</v>
      </c>
      <c r="F740" s="229">
        <f t="shared" si="25"/>
        <v>-1</v>
      </c>
      <c r="G740" s="227">
        <v>0</v>
      </c>
      <c r="H740" s="227">
        <v>-584822.05000000005</v>
      </c>
    </row>
    <row r="741" spans="1:14" x14ac:dyDescent="0.3">
      <c r="D741" s="227">
        <v>0</v>
      </c>
      <c r="E741" s="227">
        <f t="shared" si="24"/>
        <v>0</v>
      </c>
      <c r="F741" s="229" t="e">
        <f t="shared" si="25"/>
        <v>#DIV/0!</v>
      </c>
    </row>
    <row r="742" spans="1:14" x14ac:dyDescent="0.3">
      <c r="A742" s="22" t="s">
        <v>502</v>
      </c>
      <c r="B742" s="22" t="s">
        <v>717</v>
      </c>
      <c r="C742" s="227">
        <v>-67351</v>
      </c>
      <c r="D742" s="227">
        <v>-84547.02</v>
      </c>
      <c r="E742" s="227">
        <f t="shared" si="24"/>
        <v>17196.020000000004</v>
      </c>
      <c r="F742" s="229">
        <f t="shared" si="25"/>
        <v>-0.20339001895040185</v>
      </c>
      <c r="G742" s="227">
        <v>1433</v>
      </c>
      <c r="H742" s="227">
        <v>-85980.02</v>
      </c>
      <c r="J742" s="22">
        <v>-84547.02</v>
      </c>
      <c r="K742" s="22">
        <v>17196</v>
      </c>
      <c r="L742" s="22">
        <v>-67351.02</v>
      </c>
    </row>
    <row r="743" spans="1:14" x14ac:dyDescent="0.3">
      <c r="A743" s="22" t="s">
        <v>2157</v>
      </c>
      <c r="B743" s="22" t="s">
        <v>2158</v>
      </c>
      <c r="C743" s="227">
        <v>-54000</v>
      </c>
      <c r="D743" s="227">
        <v>-60000</v>
      </c>
      <c r="E743" s="227">
        <f t="shared" si="24"/>
        <v>6000</v>
      </c>
      <c r="F743" s="229">
        <f t="shared" si="25"/>
        <v>-0.1</v>
      </c>
      <c r="G743" s="227">
        <v>-60000</v>
      </c>
      <c r="H743" s="227">
        <v>0</v>
      </c>
      <c r="J743" s="22">
        <v>6000</v>
      </c>
    </row>
    <row r="744" spans="1:14" x14ac:dyDescent="0.3">
      <c r="A744" s="22" t="s">
        <v>503</v>
      </c>
      <c r="B744" s="22" t="s">
        <v>719</v>
      </c>
      <c r="C744" s="227">
        <v>-61286</v>
      </c>
      <c r="D744" s="227">
        <v>-64693.539999999994</v>
      </c>
      <c r="E744" s="227">
        <f t="shared" si="24"/>
        <v>3407.5399999999936</v>
      </c>
      <c r="F744" s="229">
        <f t="shared" si="25"/>
        <v>-5.2672028768250959E-2</v>
      </c>
      <c r="G744" s="227">
        <v>852</v>
      </c>
      <c r="H744" s="227">
        <v>-65545.539999999994</v>
      </c>
      <c r="J744" s="22">
        <v>-64978</v>
      </c>
      <c r="K744" s="22">
        <v>284</v>
      </c>
      <c r="L744" s="22">
        <v>-64694</v>
      </c>
      <c r="M744" s="22">
        <v>-851.5399999999936</v>
      </c>
      <c r="N744" s="22">
        <v>3408</v>
      </c>
    </row>
    <row r="745" spans="1:14" x14ac:dyDescent="0.3">
      <c r="A745" s="22" t="s">
        <v>5</v>
      </c>
      <c r="C745" s="227">
        <v>-182637</v>
      </c>
      <c r="D745" s="227">
        <v>-209240.56</v>
      </c>
      <c r="E745" s="227">
        <f t="shared" si="24"/>
        <v>26603.559999999998</v>
      </c>
      <c r="F745" s="229">
        <f t="shared" si="25"/>
        <v>-0.12714341808299498</v>
      </c>
      <c r="G745" s="227">
        <v>-57715</v>
      </c>
      <c r="H745" s="227">
        <v>-151525.56</v>
      </c>
      <c r="L745" s="22">
        <v>1</v>
      </c>
      <c r="M745" s="22">
        <v>-61286</v>
      </c>
    </row>
    <row r="746" spans="1:14" x14ac:dyDescent="0.3">
      <c r="D746" s="227">
        <v>0</v>
      </c>
      <c r="E746" s="227">
        <f t="shared" si="24"/>
        <v>0</v>
      </c>
      <c r="F746" s="229" t="e">
        <f t="shared" si="25"/>
        <v>#DIV/0!</v>
      </c>
      <c r="H746" s="227">
        <v>0</v>
      </c>
      <c r="K746" s="22" t="s">
        <v>2164</v>
      </c>
    </row>
    <row r="747" spans="1:14" x14ac:dyDescent="0.3">
      <c r="A747" s="22" t="s">
        <v>504</v>
      </c>
      <c r="B747" s="22" t="s">
        <v>1607</v>
      </c>
      <c r="C747" s="227">
        <v>-373004</v>
      </c>
      <c r="D747" s="227">
        <v>-404528.4</v>
      </c>
      <c r="E747" s="227">
        <f t="shared" si="24"/>
        <v>31524.400000000023</v>
      </c>
      <c r="F747" s="229">
        <f t="shared" si="25"/>
        <v>-7.7928768412798763E-2</v>
      </c>
      <c r="G747" s="227">
        <v>2627</v>
      </c>
      <c r="H747" s="227">
        <v>-407155.4</v>
      </c>
      <c r="J747" s="22">
        <v>-404528.4</v>
      </c>
      <c r="K747" s="22">
        <v>31524</v>
      </c>
      <c r="L747" s="22">
        <v>-373004.4</v>
      </c>
    </row>
    <row r="748" spans="1:14" x14ac:dyDescent="0.3">
      <c r="A748" s="22" t="s">
        <v>505</v>
      </c>
      <c r="B748" s="22" t="s">
        <v>1613</v>
      </c>
      <c r="C748" s="227">
        <v>-61854</v>
      </c>
      <c r="D748" s="227">
        <v>-65261.539999999994</v>
      </c>
      <c r="E748" s="227">
        <f t="shared" si="24"/>
        <v>3407.5399999999936</v>
      </c>
      <c r="F748" s="229">
        <f t="shared" si="25"/>
        <v>-5.2213600843620818E-2</v>
      </c>
      <c r="G748" s="227">
        <v>284</v>
      </c>
      <c r="H748" s="227">
        <v>-65545.539999999994</v>
      </c>
      <c r="J748" s="22">
        <v>-65261.539999999994</v>
      </c>
      <c r="K748" s="22">
        <v>3408</v>
      </c>
      <c r="L748" s="22">
        <v>-61853.539999999994</v>
      </c>
    </row>
    <row r="749" spans="1:14" x14ac:dyDescent="0.3">
      <c r="A749" s="22" t="s">
        <v>506</v>
      </c>
      <c r="B749" s="22" t="s">
        <v>1619</v>
      </c>
      <c r="C749" s="227">
        <v>-264119</v>
      </c>
      <c r="D749" s="227">
        <v>-283331.19</v>
      </c>
      <c r="E749" s="227">
        <f t="shared" si="24"/>
        <v>19212.190000000002</v>
      </c>
      <c r="F749" s="229">
        <f t="shared" si="25"/>
        <v>-6.7808242361174581E-2</v>
      </c>
      <c r="G749" s="227">
        <v>1601</v>
      </c>
      <c r="H749" s="227">
        <v>-284932.19</v>
      </c>
      <c r="J749" s="22">
        <v>-283331.19</v>
      </c>
      <c r="K749" s="22">
        <v>19212</v>
      </c>
      <c r="L749" s="22">
        <v>-264119.19</v>
      </c>
    </row>
    <row r="750" spans="1:14" x14ac:dyDescent="0.3">
      <c r="A750" s="22" t="s">
        <v>8</v>
      </c>
      <c r="C750" s="227">
        <v>-698977</v>
      </c>
      <c r="D750" s="227">
        <v>-753121.13</v>
      </c>
      <c r="E750" s="227">
        <f t="shared" si="24"/>
        <v>54144.130000000005</v>
      </c>
      <c r="F750" s="229">
        <f t="shared" si="25"/>
        <v>-7.1892990175431673E-2</v>
      </c>
      <c r="G750" s="227">
        <v>4512</v>
      </c>
      <c r="H750" s="227">
        <v>-757633.13</v>
      </c>
    </row>
    <row r="751" spans="1:14" x14ac:dyDescent="0.3">
      <c r="D751" s="227">
        <v>0</v>
      </c>
      <c r="E751" s="227">
        <f t="shared" si="24"/>
        <v>0</v>
      </c>
      <c r="F751" s="229" t="e">
        <f t="shared" si="25"/>
        <v>#DIV/0!</v>
      </c>
      <c r="H751" s="227">
        <v>0</v>
      </c>
    </row>
    <row r="752" spans="1:14" x14ac:dyDescent="0.3">
      <c r="A752" s="22" t="s">
        <v>507</v>
      </c>
      <c r="B752" s="22" t="s">
        <v>2319</v>
      </c>
      <c r="C752" s="227">
        <v>-881614</v>
      </c>
      <c r="D752" s="227">
        <v>-962361.69</v>
      </c>
      <c r="E752" s="227">
        <f t="shared" si="24"/>
        <v>80747.689999999944</v>
      </c>
      <c r="F752" s="229">
        <f t="shared" si="25"/>
        <v>-8.3905761044997487E-2</v>
      </c>
      <c r="G752" s="227">
        <v>-53203</v>
      </c>
      <c r="H752" s="227">
        <v>-909158.69</v>
      </c>
    </row>
    <row r="753" spans="1:8" x14ac:dyDescent="0.3">
      <c r="D753" s="227">
        <v>0</v>
      </c>
      <c r="E753" s="227">
        <f t="shared" si="24"/>
        <v>0</v>
      </c>
      <c r="F753" s="229" t="e">
        <f t="shared" si="25"/>
        <v>#DIV/0!</v>
      </c>
      <c r="H753" s="227">
        <v>0</v>
      </c>
    </row>
    <row r="754" spans="1:8" x14ac:dyDescent="0.3">
      <c r="A754" s="22" t="s">
        <v>508</v>
      </c>
      <c r="B754" s="22" t="s">
        <v>554</v>
      </c>
      <c r="D754" s="227">
        <v>-772841.38</v>
      </c>
      <c r="E754" s="227">
        <f t="shared" si="24"/>
        <v>772841.38</v>
      </c>
      <c r="F754" s="229">
        <f t="shared" si="25"/>
        <v>-1</v>
      </c>
      <c r="H754" s="227">
        <v>-772841.38</v>
      </c>
    </row>
    <row r="755" spans="1:8" x14ac:dyDescent="0.3">
      <c r="A755" s="22" t="s">
        <v>509</v>
      </c>
      <c r="B755" s="22" t="s">
        <v>721</v>
      </c>
      <c r="D755" s="227">
        <v>59835.85</v>
      </c>
      <c r="E755" s="227">
        <f t="shared" si="24"/>
        <v>-59835.85</v>
      </c>
      <c r="F755" s="229">
        <f t="shared" si="25"/>
        <v>-1</v>
      </c>
      <c r="H755" s="227">
        <v>59835.85</v>
      </c>
    </row>
    <row r="756" spans="1:8" x14ac:dyDescent="0.3">
      <c r="A756" s="22" t="s">
        <v>5</v>
      </c>
      <c r="C756" s="227">
        <v>0</v>
      </c>
      <c r="D756" s="227">
        <v>-713005.53</v>
      </c>
      <c r="E756" s="227">
        <f t="shared" si="24"/>
        <v>713005.53</v>
      </c>
      <c r="F756" s="229">
        <f t="shared" si="25"/>
        <v>-1</v>
      </c>
      <c r="G756" s="227">
        <v>0</v>
      </c>
      <c r="H756" s="227">
        <v>-713005.53</v>
      </c>
    </row>
    <row r="757" spans="1:8" x14ac:dyDescent="0.3">
      <c r="D757" s="227">
        <v>0</v>
      </c>
      <c r="E757" s="227">
        <f t="shared" si="24"/>
        <v>0</v>
      </c>
      <c r="F757" s="229" t="e">
        <f t="shared" si="25"/>
        <v>#DIV/0!</v>
      </c>
      <c r="H757" s="227">
        <v>0</v>
      </c>
    </row>
    <row r="758" spans="1:8" x14ac:dyDescent="0.3">
      <c r="A758" s="22" t="s">
        <v>510</v>
      </c>
      <c r="B758" s="22" t="s">
        <v>554</v>
      </c>
      <c r="D758" s="227">
        <v>-487147.8</v>
      </c>
      <c r="E758" s="227">
        <f t="shared" si="24"/>
        <v>487147.8</v>
      </c>
      <c r="F758" s="229">
        <f t="shared" si="25"/>
        <v>-1</v>
      </c>
      <c r="H758" s="227">
        <v>-487147.8</v>
      </c>
    </row>
    <row r="759" spans="1:8" x14ac:dyDescent="0.3">
      <c r="A759" s="22" t="s">
        <v>511</v>
      </c>
      <c r="B759" s="22" t="s">
        <v>721</v>
      </c>
      <c r="D759" s="227">
        <v>657683.43000000005</v>
      </c>
      <c r="E759" s="227">
        <f t="shared" si="24"/>
        <v>-657683.43000000005</v>
      </c>
      <c r="F759" s="229">
        <f t="shared" si="25"/>
        <v>-1</v>
      </c>
      <c r="H759" s="227">
        <v>657683.43000000005</v>
      </c>
    </row>
    <row r="760" spans="1:8" x14ac:dyDescent="0.3">
      <c r="A760" s="22" t="s">
        <v>8</v>
      </c>
      <c r="C760" s="227">
        <v>0</v>
      </c>
      <c r="D760" s="227">
        <v>170535.63000000006</v>
      </c>
      <c r="E760" s="227">
        <f t="shared" si="24"/>
        <v>-170535.63000000006</v>
      </c>
      <c r="F760" s="229">
        <f t="shared" si="25"/>
        <v>-1</v>
      </c>
      <c r="G760" s="227">
        <v>0</v>
      </c>
      <c r="H760" s="227">
        <v>170535.63000000006</v>
      </c>
    </row>
    <row r="761" spans="1:8" x14ac:dyDescent="0.3">
      <c r="D761" s="227">
        <v>0</v>
      </c>
      <c r="E761" s="227">
        <f t="shared" si="24"/>
        <v>0</v>
      </c>
      <c r="F761" s="229" t="e">
        <f t="shared" si="25"/>
        <v>#DIV/0!</v>
      </c>
      <c r="H761" s="227">
        <v>0</v>
      </c>
    </row>
    <row r="762" spans="1:8" x14ac:dyDescent="0.3">
      <c r="A762" s="22" t="s">
        <v>512</v>
      </c>
      <c r="B762" s="22" t="s">
        <v>554</v>
      </c>
      <c r="D762" s="227">
        <v>204108.52</v>
      </c>
      <c r="E762" s="227">
        <f t="shared" si="24"/>
        <v>-204108.52</v>
      </c>
      <c r="F762" s="229">
        <f t="shared" si="25"/>
        <v>-1</v>
      </c>
      <c r="H762" s="227">
        <v>204108.52</v>
      </c>
    </row>
    <row r="763" spans="1:8" x14ac:dyDescent="0.3">
      <c r="A763" s="22" t="s">
        <v>12</v>
      </c>
      <c r="C763" s="227">
        <v>0</v>
      </c>
      <c r="D763" s="227">
        <v>204108.52</v>
      </c>
      <c r="E763" s="227">
        <f t="shared" si="24"/>
        <v>-204108.52</v>
      </c>
      <c r="F763" s="229">
        <f t="shared" si="25"/>
        <v>-1</v>
      </c>
      <c r="G763" s="227">
        <v>0</v>
      </c>
      <c r="H763" s="227">
        <v>204108.52</v>
      </c>
    </row>
    <row r="764" spans="1:8" x14ac:dyDescent="0.3">
      <c r="D764" s="227">
        <v>0</v>
      </c>
      <c r="E764" s="227">
        <f t="shared" si="24"/>
        <v>0</v>
      </c>
      <c r="F764" s="229" t="e">
        <f t="shared" si="25"/>
        <v>#DIV/0!</v>
      </c>
      <c r="H764" s="227">
        <v>0</v>
      </c>
    </row>
    <row r="765" spans="1:8" x14ac:dyDescent="0.3">
      <c r="A765" s="22" t="s">
        <v>513</v>
      </c>
      <c r="B765" s="22" t="s">
        <v>2320</v>
      </c>
      <c r="C765" s="227">
        <v>0</v>
      </c>
      <c r="D765" s="227">
        <v>-338361.37999999989</v>
      </c>
      <c r="E765" s="227">
        <f t="shared" si="24"/>
        <v>338361.37999999989</v>
      </c>
      <c r="F765" s="229">
        <f t="shared" si="25"/>
        <v>-1</v>
      </c>
      <c r="G765" s="227">
        <v>0</v>
      </c>
      <c r="H765" s="227">
        <v>-338361.37999999989</v>
      </c>
    </row>
    <row r="766" spans="1:8" x14ac:dyDescent="0.3">
      <c r="D766" s="227">
        <v>0</v>
      </c>
      <c r="E766" s="227">
        <f t="shared" si="24"/>
        <v>0</v>
      </c>
      <c r="F766" s="229" t="e">
        <f t="shared" si="25"/>
        <v>#DIV/0!</v>
      </c>
      <c r="H766" s="22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6C3D-0521-4F04-9EA2-32838D05786F}">
  <dimension ref="A1:V1000"/>
  <sheetViews>
    <sheetView tabSelected="1" topLeftCell="A6" zoomScaleNormal="100" workbookViewId="0">
      <pane xSplit="1" ySplit="3" topLeftCell="B293" activePane="bottomRight" state="frozen"/>
      <selection activeCell="A6" sqref="A6"/>
      <selection pane="topRight" activeCell="B6" sqref="B6"/>
      <selection pane="bottomLeft" activeCell="A10" sqref="A10"/>
      <selection pane="bottomRight" activeCell="C302" sqref="C302"/>
    </sheetView>
  </sheetViews>
  <sheetFormatPr defaultRowHeight="15.75" x14ac:dyDescent="0.25"/>
  <cols>
    <col min="1" max="1" width="54.5703125" style="4" bestFit="1" customWidth="1"/>
    <col min="2" max="2" width="11" style="4" customWidth="1"/>
    <col min="3" max="3" width="16.7109375" style="102" customWidth="1"/>
    <col min="4" max="4" width="17.7109375" style="98" customWidth="1"/>
    <col min="5" max="15" width="15.7109375" style="4" hidden="1" customWidth="1"/>
    <col min="16" max="16" width="18.5703125" style="4" customWidth="1"/>
    <col min="17" max="17" width="9.140625" style="4"/>
    <col min="18" max="18" width="12.5703125" style="4" bestFit="1" customWidth="1"/>
    <col min="19" max="19" width="12.7109375" style="4" customWidth="1"/>
    <col min="20" max="20" width="11.42578125" style="4" bestFit="1" customWidth="1"/>
    <col min="21" max="21" width="20.28515625" style="4" bestFit="1" customWidth="1"/>
    <col min="22" max="16384" width="9.140625" style="4"/>
  </cols>
  <sheetData>
    <row r="1" spans="1:16" x14ac:dyDescent="0.25">
      <c r="A1" s="3" t="s">
        <v>517</v>
      </c>
    </row>
    <row r="2" spans="1:16" x14ac:dyDescent="0.25">
      <c r="A2" s="5" t="s">
        <v>518</v>
      </c>
    </row>
    <row r="3" spans="1:16" x14ac:dyDescent="0.25">
      <c r="A3" s="5" t="s">
        <v>519</v>
      </c>
    </row>
    <row r="7" spans="1:16" ht="16.5" thickBot="1" x14ac:dyDescent="0.3">
      <c r="A7" s="6"/>
      <c r="C7" s="239" t="s">
        <v>2084</v>
      </c>
      <c r="D7" s="237" t="s">
        <v>2083</v>
      </c>
      <c r="E7" s="29" t="s">
        <v>5</v>
      </c>
      <c r="F7" s="29"/>
      <c r="G7" s="29"/>
      <c r="H7" s="29" t="s">
        <v>991</v>
      </c>
      <c r="I7" s="29"/>
      <c r="J7" s="29"/>
      <c r="K7" s="29" t="s">
        <v>12</v>
      </c>
      <c r="L7" s="29"/>
      <c r="M7" s="29"/>
      <c r="N7" s="29" t="s">
        <v>1143</v>
      </c>
      <c r="O7" s="29"/>
      <c r="P7" s="241" t="s">
        <v>2087</v>
      </c>
    </row>
    <row r="8" spans="1:16" x14ac:dyDescent="0.25">
      <c r="A8" s="7" t="s">
        <v>0</v>
      </c>
      <c r="B8" s="28" t="s">
        <v>1144</v>
      </c>
      <c r="C8" s="240"/>
      <c r="D8" s="238"/>
      <c r="E8" s="30" t="s">
        <v>986</v>
      </c>
      <c r="F8" s="30" t="s">
        <v>987</v>
      </c>
      <c r="G8" s="30" t="s">
        <v>990</v>
      </c>
      <c r="H8" s="30" t="s">
        <v>986</v>
      </c>
      <c r="I8" s="30" t="s">
        <v>987</v>
      </c>
      <c r="J8" s="30" t="s">
        <v>990</v>
      </c>
      <c r="K8" s="30" t="s">
        <v>986</v>
      </c>
      <c r="L8" s="30" t="s">
        <v>987</v>
      </c>
      <c r="M8" s="30" t="s">
        <v>990</v>
      </c>
      <c r="N8" s="30" t="s">
        <v>986</v>
      </c>
      <c r="O8" s="30" t="s">
        <v>987</v>
      </c>
      <c r="P8" s="242"/>
    </row>
    <row r="9" spans="1:16" hidden="1" x14ac:dyDescent="0.25">
      <c r="A9" s="8" t="s">
        <v>1</v>
      </c>
      <c r="B9" s="4" t="str">
        <f>LEFT(A9,4)</f>
        <v>1001</v>
      </c>
      <c r="E9" s="34">
        <f>VLOOKUP($B9,Town_Sage!$A$5:$D$399,3,0)</f>
        <v>211751.98</v>
      </c>
      <c r="F9" s="34">
        <f>VLOOKUP($B9,Town_Sage!$A$5:$D$399,4,0)</f>
        <v>0</v>
      </c>
      <c r="G9" s="34">
        <f>IF(E9&gt;0,E9,-F9)</f>
        <v>211751.98</v>
      </c>
      <c r="H9" s="34"/>
      <c r="I9" s="34"/>
      <c r="J9" s="34">
        <f t="shared" ref="J9:J72" si="0">IF(H9&gt;0,H9,-I9)</f>
        <v>0</v>
      </c>
      <c r="K9" s="34"/>
      <c r="L9" s="34"/>
      <c r="M9" s="34">
        <f>IF(K9&gt;0,K9,-L9)</f>
        <v>0</v>
      </c>
      <c r="N9" s="34">
        <f>E9+H9+K9</f>
        <v>211751.98</v>
      </c>
      <c r="O9" s="34">
        <f>F9+I9+L9</f>
        <v>0</v>
      </c>
      <c r="P9" s="34">
        <f>IF(N9&gt;0,N9,-O9)</f>
        <v>211751.98</v>
      </c>
    </row>
    <row r="10" spans="1:16" hidden="1" x14ac:dyDescent="0.25">
      <c r="A10" s="8" t="s">
        <v>2</v>
      </c>
      <c r="B10" s="4" t="str">
        <f>LEFT(A10,4)</f>
        <v>1010</v>
      </c>
      <c r="E10" s="34">
        <f>VLOOKUP($B10,Town_Sage!$A$5:$D$399,3,0)</f>
        <v>200</v>
      </c>
      <c r="F10" s="34">
        <f>VLOOKUP($B10,Town_Sage!$A$5:$D$399,4,0)</f>
        <v>0</v>
      </c>
      <c r="G10" s="34">
        <f t="shared" ref="G10:G72" si="1">IF(E10&gt;0,E10,-F10)</f>
        <v>200</v>
      </c>
      <c r="H10" s="34"/>
      <c r="I10" s="34"/>
      <c r="J10" s="34">
        <f t="shared" si="0"/>
        <v>0</v>
      </c>
      <c r="K10" s="34"/>
      <c r="L10" s="34"/>
      <c r="M10" s="34">
        <f t="shared" ref="M10:M72" si="2">IF(K10&gt;0,K10,-L10)</f>
        <v>0</v>
      </c>
      <c r="N10" s="34">
        <f t="shared" ref="N10:N72" si="3">E10+H10+K10</f>
        <v>200</v>
      </c>
      <c r="O10" s="34">
        <f t="shared" ref="O10:O72" si="4">F10+I10+L10</f>
        <v>0</v>
      </c>
      <c r="P10" s="34">
        <f t="shared" ref="P10:P72" si="5">IF(N10&gt;0,N10,-O10)</f>
        <v>200</v>
      </c>
    </row>
    <row r="11" spans="1:16" hidden="1" x14ac:dyDescent="0.25">
      <c r="A11" s="8" t="s">
        <v>3</v>
      </c>
      <c r="B11" s="4" t="str">
        <f>LEFT(A11,4)</f>
        <v>1015</v>
      </c>
      <c r="E11" s="34">
        <f>VLOOKUP($B11,Town_Sage!$A$5:$D$399,3,0)</f>
        <v>5.34</v>
      </c>
      <c r="F11" s="34">
        <f>VLOOKUP($B11,Town_Sage!$A$5:$D$399,4,0)</f>
        <v>0</v>
      </c>
      <c r="G11" s="34">
        <f t="shared" si="1"/>
        <v>5.34</v>
      </c>
      <c r="H11" s="34"/>
      <c r="I11" s="34"/>
      <c r="J11" s="34">
        <f t="shared" si="0"/>
        <v>0</v>
      </c>
      <c r="K11" s="34"/>
      <c r="L11" s="34"/>
      <c r="M11" s="34">
        <f t="shared" si="2"/>
        <v>0</v>
      </c>
      <c r="N11" s="34">
        <f t="shared" si="3"/>
        <v>5.34</v>
      </c>
      <c r="O11" s="34">
        <f t="shared" si="4"/>
        <v>0</v>
      </c>
      <c r="P11" s="34">
        <f t="shared" si="5"/>
        <v>5.34</v>
      </c>
    </row>
    <row r="12" spans="1:16" hidden="1" x14ac:dyDescent="0.25">
      <c r="A12" s="8" t="s">
        <v>4</v>
      </c>
      <c r="B12" s="4" t="str">
        <f>LEFT(A12,4)</f>
        <v>1025</v>
      </c>
      <c r="E12" s="34">
        <f>VLOOKUP($B12,Town_Sage!$A$5:$D$399,3,0)</f>
        <v>536.02</v>
      </c>
      <c r="F12" s="34">
        <f>VLOOKUP($B12,Town_Sage!$A$5:$D$399,4,0)</f>
        <v>0</v>
      </c>
      <c r="G12" s="34">
        <f t="shared" si="1"/>
        <v>536.02</v>
      </c>
      <c r="H12" s="34"/>
      <c r="I12" s="34"/>
      <c r="J12" s="34">
        <f t="shared" si="0"/>
        <v>0</v>
      </c>
      <c r="K12" s="34"/>
      <c r="L12" s="34"/>
      <c r="M12" s="34">
        <f t="shared" si="2"/>
        <v>0</v>
      </c>
      <c r="N12" s="34">
        <f t="shared" si="3"/>
        <v>536.02</v>
      </c>
      <c r="O12" s="34">
        <f t="shared" si="4"/>
        <v>0</v>
      </c>
      <c r="P12" s="34">
        <f t="shared" si="5"/>
        <v>536.02</v>
      </c>
    </row>
    <row r="13" spans="1:16" hidden="1" x14ac:dyDescent="0.25">
      <c r="A13" s="8" t="s">
        <v>5</v>
      </c>
      <c r="C13" s="103">
        <f t="shared" ref="C13:D13" si="6">SUM(C9:C12)</f>
        <v>0</v>
      </c>
      <c r="D13" s="99">
        <f t="shared" si="6"/>
        <v>0</v>
      </c>
      <c r="E13" s="35">
        <f>SUM(E9:E12)</f>
        <v>212493.34</v>
      </c>
      <c r="F13" s="35">
        <f t="shared" ref="F13:P13" si="7">SUM(F9:F12)</f>
        <v>0</v>
      </c>
      <c r="G13" s="35">
        <f t="shared" si="7"/>
        <v>212493.34</v>
      </c>
      <c r="H13" s="35">
        <f t="shared" si="7"/>
        <v>0</v>
      </c>
      <c r="I13" s="35">
        <f t="shared" si="7"/>
        <v>0</v>
      </c>
      <c r="J13" s="35">
        <f t="shared" si="7"/>
        <v>0</v>
      </c>
      <c r="K13" s="35">
        <f t="shared" si="7"/>
        <v>0</v>
      </c>
      <c r="L13" s="35">
        <f t="shared" si="7"/>
        <v>0</v>
      </c>
      <c r="M13" s="35">
        <f t="shared" si="7"/>
        <v>0</v>
      </c>
      <c r="N13" s="35">
        <f t="shared" si="7"/>
        <v>212493.34</v>
      </c>
      <c r="O13" s="35">
        <f t="shared" si="7"/>
        <v>0</v>
      </c>
      <c r="P13" s="35">
        <f t="shared" si="7"/>
        <v>212493.34</v>
      </c>
    </row>
    <row r="14" spans="1:16" hidden="1" x14ac:dyDescent="0.25">
      <c r="E14" s="34"/>
      <c r="F14" s="34"/>
      <c r="G14" s="34">
        <f t="shared" si="1"/>
        <v>0</v>
      </c>
      <c r="H14" s="34"/>
      <c r="I14" s="34"/>
      <c r="J14" s="34">
        <f t="shared" si="0"/>
        <v>0</v>
      </c>
      <c r="K14" s="34"/>
      <c r="L14" s="34"/>
      <c r="M14" s="34">
        <f t="shared" si="2"/>
        <v>0</v>
      </c>
      <c r="N14" s="34">
        <f t="shared" si="3"/>
        <v>0</v>
      </c>
      <c r="O14" s="34">
        <f t="shared" si="4"/>
        <v>0</v>
      </c>
      <c r="P14" s="34">
        <f t="shared" si="5"/>
        <v>0</v>
      </c>
    </row>
    <row r="15" spans="1:16" hidden="1" x14ac:dyDescent="0.25">
      <c r="A15" s="8" t="s">
        <v>6</v>
      </c>
      <c r="B15" s="4" t="str">
        <f>LEFT(A15,4)</f>
        <v>1001</v>
      </c>
      <c r="E15" s="34"/>
      <c r="F15" s="34"/>
      <c r="G15" s="34">
        <f t="shared" si="1"/>
        <v>0</v>
      </c>
      <c r="H15" s="34">
        <f>VLOOKUP($B15,Utility!$A$5:$D$248,3,0)</f>
        <v>80969.259999999995</v>
      </c>
      <c r="I15" s="34">
        <f>VLOOKUP($B15,Utility!$A$5:$D$248,4,0)</f>
        <v>0</v>
      </c>
      <c r="J15" s="34">
        <f t="shared" si="0"/>
        <v>80969.259999999995</v>
      </c>
      <c r="K15" s="34"/>
      <c r="L15" s="34"/>
      <c r="M15" s="34">
        <f t="shared" si="2"/>
        <v>0</v>
      </c>
      <c r="N15" s="34">
        <f t="shared" si="3"/>
        <v>80969.259999999995</v>
      </c>
      <c r="O15" s="34">
        <f t="shared" si="4"/>
        <v>0</v>
      </c>
      <c r="P15" s="34">
        <f t="shared" si="5"/>
        <v>80969.259999999995</v>
      </c>
    </row>
    <row r="16" spans="1:16" hidden="1" x14ac:dyDescent="0.25">
      <c r="A16" s="8" t="s">
        <v>7</v>
      </c>
      <c r="B16" s="4" t="str">
        <f>LEFT(A16,4)</f>
        <v>1002</v>
      </c>
      <c r="E16" s="34"/>
      <c r="F16" s="34"/>
      <c r="G16" s="34">
        <f t="shared" si="1"/>
        <v>0</v>
      </c>
      <c r="H16" s="34">
        <f>VLOOKUP($B16,Utility!$A$5:$D$248,3,0)</f>
        <v>0</v>
      </c>
      <c r="I16" s="34">
        <f>VLOOKUP($B16,Utility!$A$5:$D$248,4,0)</f>
        <v>0</v>
      </c>
      <c r="J16" s="34">
        <f t="shared" si="0"/>
        <v>0</v>
      </c>
      <c r="K16" s="34"/>
      <c r="L16" s="34"/>
      <c r="M16" s="34">
        <f t="shared" si="2"/>
        <v>0</v>
      </c>
      <c r="N16" s="34">
        <f t="shared" si="3"/>
        <v>0</v>
      </c>
      <c r="O16" s="34">
        <f t="shared" si="4"/>
        <v>0</v>
      </c>
      <c r="P16" s="34">
        <f t="shared" si="5"/>
        <v>0</v>
      </c>
    </row>
    <row r="17" spans="1:16" hidden="1" x14ac:dyDescent="0.25">
      <c r="A17" s="8" t="s">
        <v>8</v>
      </c>
      <c r="C17" s="103">
        <f t="shared" ref="C17:D17" si="8">SUM(C15:C16)</f>
        <v>0</v>
      </c>
      <c r="D17" s="99">
        <f t="shared" si="8"/>
        <v>0</v>
      </c>
      <c r="E17" s="35">
        <f>SUM(E15:E16)</f>
        <v>0</v>
      </c>
      <c r="F17" s="35">
        <f t="shared" ref="F17:P17" si="9">SUM(F15:F16)</f>
        <v>0</v>
      </c>
      <c r="G17" s="35">
        <f t="shared" si="9"/>
        <v>0</v>
      </c>
      <c r="H17" s="35">
        <f t="shared" si="9"/>
        <v>80969.259999999995</v>
      </c>
      <c r="I17" s="35">
        <f t="shared" si="9"/>
        <v>0</v>
      </c>
      <c r="J17" s="35">
        <f t="shared" si="9"/>
        <v>80969.259999999995</v>
      </c>
      <c r="K17" s="35">
        <f t="shared" si="9"/>
        <v>0</v>
      </c>
      <c r="L17" s="35">
        <f t="shared" si="9"/>
        <v>0</v>
      </c>
      <c r="M17" s="35">
        <f t="shared" si="9"/>
        <v>0</v>
      </c>
      <c r="N17" s="35">
        <f t="shared" si="9"/>
        <v>80969.259999999995</v>
      </c>
      <c r="O17" s="35">
        <f t="shared" si="9"/>
        <v>0</v>
      </c>
      <c r="P17" s="35">
        <f t="shared" si="9"/>
        <v>80969.259999999995</v>
      </c>
    </row>
    <row r="18" spans="1:16" hidden="1" x14ac:dyDescent="0.25">
      <c r="E18" s="34"/>
      <c r="F18" s="34"/>
      <c r="G18" s="34">
        <f t="shared" si="1"/>
        <v>0</v>
      </c>
      <c r="H18" s="34"/>
      <c r="I18" s="34"/>
      <c r="J18" s="34">
        <f t="shared" si="0"/>
        <v>0</v>
      </c>
      <c r="K18" s="34"/>
      <c r="L18" s="34"/>
      <c r="M18" s="34">
        <f t="shared" si="2"/>
        <v>0</v>
      </c>
      <c r="N18" s="34">
        <f t="shared" si="3"/>
        <v>0</v>
      </c>
      <c r="O18" s="34">
        <f t="shared" si="4"/>
        <v>0</v>
      </c>
      <c r="P18" s="34">
        <f t="shared" si="5"/>
        <v>0</v>
      </c>
    </row>
    <row r="19" spans="1:16" hidden="1" x14ac:dyDescent="0.25">
      <c r="A19" s="8" t="s">
        <v>9</v>
      </c>
      <c r="B19" s="4" t="str">
        <f>LEFT(A19,4)</f>
        <v>1001</v>
      </c>
      <c r="E19" s="34"/>
      <c r="F19" s="34"/>
      <c r="G19" s="34">
        <f t="shared" si="1"/>
        <v>0</v>
      </c>
      <c r="H19" s="34"/>
      <c r="I19" s="34"/>
      <c r="J19" s="34">
        <f t="shared" si="0"/>
        <v>0</v>
      </c>
      <c r="K19" s="34">
        <f>VLOOKUP($B19,Arena_Sage!$A$5:$D$189,3,0)</f>
        <v>43757</v>
      </c>
      <c r="L19" s="34">
        <f>VLOOKUP($B19,Arena_Sage!$A$5:$D$189,4,0)</f>
        <v>0</v>
      </c>
      <c r="M19" s="34">
        <f t="shared" si="2"/>
        <v>43757</v>
      </c>
      <c r="N19" s="34">
        <f t="shared" si="3"/>
        <v>43757</v>
      </c>
      <c r="O19" s="34">
        <f t="shared" si="4"/>
        <v>0</v>
      </c>
      <c r="P19" s="34">
        <f t="shared" si="5"/>
        <v>43757</v>
      </c>
    </row>
    <row r="20" spans="1:16" hidden="1" x14ac:dyDescent="0.25">
      <c r="A20" s="8" t="s">
        <v>10</v>
      </c>
      <c r="B20" s="4" t="str">
        <f>LEFT(A20,4)</f>
        <v>1015</v>
      </c>
      <c r="E20" s="34"/>
      <c r="F20" s="34"/>
      <c r="G20" s="34">
        <f t="shared" si="1"/>
        <v>0</v>
      </c>
      <c r="H20" s="34"/>
      <c r="I20" s="34"/>
      <c r="J20" s="34">
        <f t="shared" si="0"/>
        <v>0</v>
      </c>
      <c r="K20" s="34">
        <f>VLOOKUP($B20,Arena_Sage!$A$5:$D$189,3,0)</f>
        <v>5.57</v>
      </c>
      <c r="L20" s="34">
        <f>VLOOKUP($B20,Arena_Sage!$A$5:$D$189,4,0)</f>
        <v>0</v>
      </c>
      <c r="M20" s="34">
        <f t="shared" si="2"/>
        <v>5.57</v>
      </c>
      <c r="N20" s="34">
        <f t="shared" si="3"/>
        <v>5.57</v>
      </c>
      <c r="O20" s="34">
        <f t="shared" si="4"/>
        <v>0</v>
      </c>
      <c r="P20" s="34">
        <f t="shared" si="5"/>
        <v>5.57</v>
      </c>
    </row>
    <row r="21" spans="1:16" hidden="1" x14ac:dyDescent="0.25">
      <c r="A21" s="8" t="s">
        <v>11</v>
      </c>
      <c r="B21" s="4" t="str">
        <f>LEFT(A21,4)</f>
        <v>1020</v>
      </c>
      <c r="E21" s="34"/>
      <c r="F21" s="34"/>
      <c r="G21" s="34">
        <f t="shared" si="1"/>
        <v>0</v>
      </c>
      <c r="H21" s="34"/>
      <c r="I21" s="34"/>
      <c r="J21" s="34">
        <f t="shared" si="0"/>
        <v>0</v>
      </c>
      <c r="K21" s="34">
        <f>VLOOKUP($B21,Arena_Sage!$A$5:$D$189,3,0)</f>
        <v>750</v>
      </c>
      <c r="L21" s="34">
        <f>VLOOKUP($B21,Arena_Sage!$A$5:$D$189,4,0)</f>
        <v>0</v>
      </c>
      <c r="M21" s="34">
        <f t="shared" si="2"/>
        <v>750</v>
      </c>
      <c r="N21" s="34">
        <f t="shared" si="3"/>
        <v>750</v>
      </c>
      <c r="O21" s="34">
        <f t="shared" si="4"/>
        <v>0</v>
      </c>
      <c r="P21" s="34">
        <f t="shared" si="5"/>
        <v>750</v>
      </c>
    </row>
    <row r="22" spans="1:16" hidden="1" x14ac:dyDescent="0.25">
      <c r="A22" s="8" t="s">
        <v>12</v>
      </c>
      <c r="C22" s="103">
        <f t="shared" ref="C22:D22" si="10">SUM(C19:C21)</f>
        <v>0</v>
      </c>
      <c r="D22" s="99">
        <f t="shared" si="10"/>
        <v>0</v>
      </c>
      <c r="E22" s="35">
        <f>SUM(E19:E21)</f>
        <v>0</v>
      </c>
      <c r="F22" s="35">
        <f t="shared" ref="F22:P22" si="11">SUM(F19:F21)</f>
        <v>0</v>
      </c>
      <c r="G22" s="35">
        <f t="shared" si="11"/>
        <v>0</v>
      </c>
      <c r="H22" s="35">
        <f t="shared" si="11"/>
        <v>0</v>
      </c>
      <c r="I22" s="35">
        <f t="shared" si="11"/>
        <v>0</v>
      </c>
      <c r="J22" s="35">
        <f t="shared" si="11"/>
        <v>0</v>
      </c>
      <c r="K22" s="35">
        <f t="shared" si="11"/>
        <v>44512.57</v>
      </c>
      <c r="L22" s="35">
        <f t="shared" si="11"/>
        <v>0</v>
      </c>
      <c r="M22" s="35">
        <f t="shared" si="11"/>
        <v>44512.57</v>
      </c>
      <c r="N22" s="35">
        <f t="shared" si="11"/>
        <v>44512.57</v>
      </c>
      <c r="O22" s="35">
        <f t="shared" si="11"/>
        <v>0</v>
      </c>
      <c r="P22" s="35">
        <f t="shared" si="11"/>
        <v>44512.57</v>
      </c>
    </row>
    <row r="23" spans="1:16" hidden="1" x14ac:dyDescent="0.25">
      <c r="E23" s="34"/>
      <c r="F23" s="34"/>
      <c r="G23" s="34">
        <f t="shared" si="1"/>
        <v>0</v>
      </c>
      <c r="H23" s="34"/>
      <c r="I23" s="34"/>
      <c r="J23" s="34">
        <f t="shared" si="0"/>
        <v>0</v>
      </c>
      <c r="K23" s="34"/>
      <c r="L23" s="34"/>
      <c r="M23" s="34">
        <f t="shared" si="2"/>
        <v>0</v>
      </c>
      <c r="N23" s="34">
        <f t="shared" si="3"/>
        <v>0</v>
      </c>
      <c r="O23" s="34">
        <f t="shared" si="4"/>
        <v>0</v>
      </c>
      <c r="P23" s="34">
        <f t="shared" si="5"/>
        <v>0</v>
      </c>
    </row>
    <row r="24" spans="1:16" hidden="1" x14ac:dyDescent="0.25">
      <c r="A24" s="9" t="s">
        <v>1832</v>
      </c>
      <c r="B24" s="12" t="str">
        <f>LEFT(A24,5)</f>
        <v xml:space="preserve">A. 1 </v>
      </c>
      <c r="C24" s="103">
        <f t="shared" ref="C24:D24" si="12">C22+C17+C13</f>
        <v>0</v>
      </c>
      <c r="D24" s="99">
        <f t="shared" si="12"/>
        <v>0</v>
      </c>
      <c r="E24" s="35">
        <f>E22+E17+E13</f>
        <v>212493.34</v>
      </c>
      <c r="F24" s="35">
        <f t="shared" ref="F24:P24" si="13">F22+F17+F13</f>
        <v>0</v>
      </c>
      <c r="G24" s="35">
        <f t="shared" si="13"/>
        <v>212493.34</v>
      </c>
      <c r="H24" s="35">
        <f t="shared" si="13"/>
        <v>80969.259999999995</v>
      </c>
      <c r="I24" s="35">
        <f t="shared" si="13"/>
        <v>0</v>
      </c>
      <c r="J24" s="35">
        <f t="shared" si="13"/>
        <v>80969.259999999995</v>
      </c>
      <c r="K24" s="35">
        <f t="shared" si="13"/>
        <v>44512.57</v>
      </c>
      <c r="L24" s="35">
        <f t="shared" si="13"/>
        <v>0</v>
      </c>
      <c r="M24" s="35">
        <f t="shared" si="13"/>
        <v>44512.57</v>
      </c>
      <c r="N24" s="35">
        <f t="shared" si="13"/>
        <v>337975.17</v>
      </c>
      <c r="O24" s="35">
        <f t="shared" si="13"/>
        <v>0</v>
      </c>
      <c r="P24" s="35">
        <f t="shared" si="13"/>
        <v>337975.17</v>
      </c>
    </row>
    <row r="25" spans="1:16" hidden="1" x14ac:dyDescent="0.25">
      <c r="E25" s="34"/>
      <c r="F25" s="34"/>
      <c r="G25" s="34">
        <f t="shared" si="1"/>
        <v>0</v>
      </c>
      <c r="H25" s="34"/>
      <c r="I25" s="34"/>
      <c r="J25" s="34">
        <f t="shared" si="0"/>
        <v>0</v>
      </c>
      <c r="K25" s="34"/>
      <c r="L25" s="34"/>
      <c r="M25" s="34">
        <f t="shared" si="2"/>
        <v>0</v>
      </c>
      <c r="N25" s="34">
        <f t="shared" si="3"/>
        <v>0</v>
      </c>
      <c r="O25" s="34">
        <f t="shared" si="4"/>
        <v>0</v>
      </c>
      <c r="P25" s="34">
        <f t="shared" si="5"/>
        <v>0</v>
      </c>
    </row>
    <row r="26" spans="1:16" hidden="1" x14ac:dyDescent="0.25">
      <c r="A26" s="8" t="s">
        <v>13</v>
      </c>
      <c r="B26" s="4" t="str">
        <f>LEFT(A26,4)</f>
        <v>1020</v>
      </c>
      <c r="E26" s="34">
        <f>VLOOKUP($B26,Town_Sage!$A$5:$D$399,3,0)</f>
        <v>436879.25</v>
      </c>
      <c r="F26" s="34">
        <f>VLOOKUP($B26,Town_Sage!$A$5:$D$399,4,0)</f>
        <v>0</v>
      </c>
      <c r="G26" s="34">
        <f t="shared" si="1"/>
        <v>436879.25</v>
      </c>
      <c r="H26" s="34"/>
      <c r="I26" s="34"/>
      <c r="J26" s="34">
        <f t="shared" si="0"/>
        <v>0</v>
      </c>
      <c r="K26" s="34"/>
      <c r="L26" s="34"/>
      <c r="M26" s="34">
        <f t="shared" si="2"/>
        <v>0</v>
      </c>
      <c r="N26" s="34">
        <f t="shared" si="3"/>
        <v>436879.25</v>
      </c>
      <c r="O26" s="34">
        <f t="shared" si="4"/>
        <v>0</v>
      </c>
      <c r="P26" s="34">
        <f t="shared" si="5"/>
        <v>436879.25</v>
      </c>
    </row>
    <row r="27" spans="1:16" hidden="1" x14ac:dyDescent="0.25">
      <c r="A27" s="8" t="s">
        <v>5</v>
      </c>
      <c r="C27" s="103">
        <f t="shared" ref="C27:D27" si="14">C26</f>
        <v>0</v>
      </c>
      <c r="D27" s="99">
        <f t="shared" si="14"/>
        <v>0</v>
      </c>
      <c r="E27" s="35">
        <f>E26</f>
        <v>436879.25</v>
      </c>
      <c r="F27" s="35">
        <f t="shared" ref="F27:P27" si="15">F26</f>
        <v>0</v>
      </c>
      <c r="G27" s="35">
        <f t="shared" si="15"/>
        <v>436879.25</v>
      </c>
      <c r="H27" s="35">
        <f t="shared" si="15"/>
        <v>0</v>
      </c>
      <c r="I27" s="35">
        <f t="shared" si="15"/>
        <v>0</v>
      </c>
      <c r="J27" s="35">
        <f t="shared" si="15"/>
        <v>0</v>
      </c>
      <c r="K27" s="35">
        <f t="shared" si="15"/>
        <v>0</v>
      </c>
      <c r="L27" s="35">
        <f t="shared" si="15"/>
        <v>0</v>
      </c>
      <c r="M27" s="35">
        <f t="shared" si="15"/>
        <v>0</v>
      </c>
      <c r="N27" s="35">
        <f t="shared" si="15"/>
        <v>436879.25</v>
      </c>
      <c r="O27" s="35">
        <f t="shared" si="15"/>
        <v>0</v>
      </c>
      <c r="P27" s="35">
        <f t="shared" si="15"/>
        <v>436879.25</v>
      </c>
    </row>
    <row r="28" spans="1:16" hidden="1" x14ac:dyDescent="0.25">
      <c r="E28" s="34"/>
      <c r="F28" s="34"/>
      <c r="G28" s="34">
        <f t="shared" si="1"/>
        <v>0</v>
      </c>
      <c r="H28" s="34"/>
      <c r="I28" s="34"/>
      <c r="J28" s="34">
        <f t="shared" si="0"/>
        <v>0</v>
      </c>
      <c r="K28" s="34"/>
      <c r="L28" s="34"/>
      <c r="M28" s="34">
        <f t="shared" si="2"/>
        <v>0</v>
      </c>
      <c r="N28" s="34">
        <f t="shared" si="3"/>
        <v>0</v>
      </c>
      <c r="O28" s="34">
        <f t="shared" si="4"/>
        <v>0</v>
      </c>
      <c r="P28" s="34">
        <f t="shared" si="5"/>
        <v>0</v>
      </c>
    </row>
    <row r="29" spans="1:16" hidden="1" x14ac:dyDescent="0.25">
      <c r="A29" s="9" t="s">
        <v>14</v>
      </c>
      <c r="B29" s="12" t="str">
        <f>LEFT(A29,5)</f>
        <v xml:space="preserve">A. 2 </v>
      </c>
      <c r="C29" s="103">
        <f t="shared" ref="C29:D29" si="16">C27</f>
        <v>0</v>
      </c>
      <c r="D29" s="99">
        <f t="shared" si="16"/>
        <v>0</v>
      </c>
      <c r="E29" s="35">
        <f>E27</f>
        <v>436879.25</v>
      </c>
      <c r="F29" s="35">
        <f t="shared" ref="F29:P29" si="17">F27</f>
        <v>0</v>
      </c>
      <c r="G29" s="35">
        <f t="shared" si="17"/>
        <v>436879.25</v>
      </c>
      <c r="H29" s="35">
        <f t="shared" si="17"/>
        <v>0</v>
      </c>
      <c r="I29" s="35">
        <f t="shared" si="17"/>
        <v>0</v>
      </c>
      <c r="J29" s="35">
        <f t="shared" si="17"/>
        <v>0</v>
      </c>
      <c r="K29" s="35">
        <f t="shared" si="17"/>
        <v>0</v>
      </c>
      <c r="L29" s="35">
        <f t="shared" si="17"/>
        <v>0</v>
      </c>
      <c r="M29" s="35">
        <f t="shared" si="17"/>
        <v>0</v>
      </c>
      <c r="N29" s="35">
        <f t="shared" si="17"/>
        <v>436879.25</v>
      </c>
      <c r="O29" s="35">
        <f t="shared" si="17"/>
        <v>0</v>
      </c>
      <c r="P29" s="35">
        <f t="shared" si="17"/>
        <v>436879.25</v>
      </c>
    </row>
    <row r="30" spans="1:16" hidden="1" x14ac:dyDescent="0.25">
      <c r="E30" s="34"/>
      <c r="F30" s="34"/>
      <c r="G30" s="34">
        <f t="shared" si="1"/>
        <v>0</v>
      </c>
      <c r="H30" s="34"/>
      <c r="I30" s="34"/>
      <c r="J30" s="34">
        <f t="shared" si="0"/>
        <v>0</v>
      </c>
      <c r="K30" s="34"/>
      <c r="L30" s="34"/>
      <c r="M30" s="34">
        <f t="shared" si="2"/>
        <v>0</v>
      </c>
      <c r="N30" s="34">
        <f t="shared" si="3"/>
        <v>0</v>
      </c>
      <c r="O30" s="34">
        <f t="shared" si="4"/>
        <v>0</v>
      </c>
      <c r="P30" s="34">
        <f t="shared" si="5"/>
        <v>0</v>
      </c>
    </row>
    <row r="31" spans="1:16" hidden="1" x14ac:dyDescent="0.25">
      <c r="A31" s="8" t="s">
        <v>15</v>
      </c>
      <c r="B31" s="4" t="str">
        <f>LEFT(A31,4)</f>
        <v>1200</v>
      </c>
      <c r="E31" s="34">
        <f>VLOOKUP($B31,Town_Sage!$A$5:$D$399,3,0)</f>
        <v>1163.49</v>
      </c>
      <c r="F31" s="34">
        <f>VLOOKUP($B31,Town_Sage!$A$5:$D$399,4,0)</f>
        <v>0</v>
      </c>
      <c r="G31" s="34">
        <f t="shared" si="1"/>
        <v>1163.49</v>
      </c>
      <c r="H31" s="34"/>
      <c r="I31" s="34"/>
      <c r="J31" s="34">
        <f t="shared" si="0"/>
        <v>0</v>
      </c>
      <c r="K31" s="34"/>
      <c r="L31" s="34"/>
      <c r="M31" s="34">
        <f t="shared" si="2"/>
        <v>0</v>
      </c>
      <c r="N31" s="34">
        <f t="shared" si="3"/>
        <v>1163.49</v>
      </c>
      <c r="O31" s="34">
        <f t="shared" si="4"/>
        <v>0</v>
      </c>
      <c r="P31" s="34">
        <f t="shared" si="5"/>
        <v>1163.49</v>
      </c>
    </row>
    <row r="32" spans="1:16" hidden="1" x14ac:dyDescent="0.25">
      <c r="A32" s="8" t="s">
        <v>16</v>
      </c>
      <c r="B32" s="4" t="str">
        <f>LEFT(A32,4)</f>
        <v>1205</v>
      </c>
      <c r="E32" s="34">
        <f>VLOOKUP($B32,Town_Sage!$A$5:$D$399,3,0)</f>
        <v>28358.18</v>
      </c>
      <c r="F32" s="34">
        <f>VLOOKUP($B32,Town_Sage!$A$5:$D$399,4,0)</f>
        <v>0</v>
      </c>
      <c r="G32" s="34">
        <f t="shared" si="1"/>
        <v>28358.18</v>
      </c>
      <c r="H32" s="34"/>
      <c r="I32" s="34"/>
      <c r="J32" s="34">
        <f t="shared" si="0"/>
        <v>0</v>
      </c>
      <c r="K32" s="34"/>
      <c r="L32" s="34"/>
      <c r="M32" s="34">
        <f t="shared" si="2"/>
        <v>0</v>
      </c>
      <c r="N32" s="34">
        <f t="shared" si="3"/>
        <v>28358.18</v>
      </c>
      <c r="O32" s="34">
        <f t="shared" si="4"/>
        <v>0</v>
      </c>
      <c r="P32" s="34">
        <f t="shared" si="5"/>
        <v>28358.18</v>
      </c>
    </row>
    <row r="33" spans="1:16" hidden="1" x14ac:dyDescent="0.25">
      <c r="A33" s="8" t="s">
        <v>17</v>
      </c>
      <c r="B33" s="4" t="str">
        <f>LEFT(A33,4)</f>
        <v>1300</v>
      </c>
      <c r="E33" s="34">
        <f>VLOOKUP($B33,Town_Sage!$A$5:$D$399,3,0)</f>
        <v>2102.54</v>
      </c>
      <c r="F33" s="34">
        <f>VLOOKUP($B33,Town_Sage!$A$5:$D$399,4,0)</f>
        <v>0</v>
      </c>
      <c r="G33" s="34">
        <f t="shared" si="1"/>
        <v>2102.54</v>
      </c>
      <c r="H33" s="34"/>
      <c r="I33" s="34"/>
      <c r="J33" s="34">
        <f t="shared" si="0"/>
        <v>0</v>
      </c>
      <c r="K33" s="34"/>
      <c r="L33" s="34"/>
      <c r="M33" s="34">
        <f t="shared" si="2"/>
        <v>0</v>
      </c>
      <c r="N33" s="34">
        <f t="shared" si="3"/>
        <v>2102.54</v>
      </c>
      <c r="O33" s="34">
        <f t="shared" si="4"/>
        <v>0</v>
      </c>
      <c r="P33" s="34">
        <f t="shared" si="5"/>
        <v>2102.54</v>
      </c>
    </row>
    <row r="34" spans="1:16" hidden="1" x14ac:dyDescent="0.25">
      <c r="A34" s="8" t="s">
        <v>18</v>
      </c>
      <c r="B34" s="4" t="str">
        <f>LEFT(A34,4)</f>
        <v>2038</v>
      </c>
      <c r="E34" s="34">
        <f>VLOOKUP($B34,Town_Sage!$A$5:$D$399,3,0)</f>
        <v>0</v>
      </c>
      <c r="F34" s="34">
        <f>VLOOKUP($B34,Town_Sage!$A$5:$D$399,4,0)</f>
        <v>0</v>
      </c>
      <c r="G34" s="34">
        <f t="shared" si="1"/>
        <v>0</v>
      </c>
      <c r="H34" s="34"/>
      <c r="I34" s="34"/>
      <c r="J34" s="34">
        <f t="shared" si="0"/>
        <v>0</v>
      </c>
      <c r="K34" s="34"/>
      <c r="L34" s="34"/>
      <c r="M34" s="34">
        <f t="shared" si="2"/>
        <v>0</v>
      </c>
      <c r="N34" s="34">
        <f t="shared" si="3"/>
        <v>0</v>
      </c>
      <c r="O34" s="34">
        <f t="shared" si="4"/>
        <v>0</v>
      </c>
      <c r="P34" s="34">
        <f t="shared" si="5"/>
        <v>0</v>
      </c>
    </row>
    <row r="35" spans="1:16" hidden="1" x14ac:dyDescent="0.25">
      <c r="A35" s="8" t="s">
        <v>19</v>
      </c>
      <c r="B35" s="4" t="str">
        <f>LEFT(A35,4)</f>
        <v>2070</v>
      </c>
      <c r="E35" s="34">
        <f>VLOOKUP($B35,Town_Sage!$A$5:$D$399,3,0)</f>
        <v>0</v>
      </c>
      <c r="F35" s="34">
        <f>VLOOKUP($B35,Town_Sage!$A$5:$D$399,4,0)</f>
        <v>6311.2</v>
      </c>
      <c r="G35" s="34">
        <f t="shared" si="1"/>
        <v>-6311.2</v>
      </c>
      <c r="H35" s="34"/>
      <c r="I35" s="34"/>
      <c r="J35" s="34">
        <f t="shared" si="0"/>
        <v>0</v>
      </c>
      <c r="K35" s="34"/>
      <c r="L35" s="34"/>
      <c r="M35" s="34">
        <f t="shared" si="2"/>
        <v>0</v>
      </c>
      <c r="N35" s="34">
        <f t="shared" si="3"/>
        <v>0</v>
      </c>
      <c r="O35" s="34">
        <f t="shared" si="4"/>
        <v>6311.2</v>
      </c>
      <c r="P35" s="34">
        <f t="shared" si="5"/>
        <v>-6311.2</v>
      </c>
    </row>
    <row r="36" spans="1:16" hidden="1" x14ac:dyDescent="0.25">
      <c r="A36" s="8" t="s">
        <v>5</v>
      </c>
      <c r="C36" s="103">
        <f t="shared" ref="C36:D36" si="18">SUM(C31:C35)</f>
        <v>0</v>
      </c>
      <c r="D36" s="99">
        <f t="shared" si="18"/>
        <v>0</v>
      </c>
      <c r="E36" s="35">
        <f>SUM(E31:E35)</f>
        <v>31624.210000000003</v>
      </c>
      <c r="F36" s="35">
        <f t="shared" ref="F36:P36" si="19">SUM(F31:F35)</f>
        <v>6311.2</v>
      </c>
      <c r="G36" s="35">
        <f t="shared" si="19"/>
        <v>25313.010000000002</v>
      </c>
      <c r="H36" s="35">
        <f t="shared" si="19"/>
        <v>0</v>
      </c>
      <c r="I36" s="35">
        <f t="shared" si="19"/>
        <v>0</v>
      </c>
      <c r="J36" s="35">
        <f t="shared" si="19"/>
        <v>0</v>
      </c>
      <c r="K36" s="35">
        <f t="shared" si="19"/>
        <v>0</v>
      </c>
      <c r="L36" s="35">
        <f t="shared" si="19"/>
        <v>0</v>
      </c>
      <c r="M36" s="35">
        <f t="shared" si="19"/>
        <v>0</v>
      </c>
      <c r="N36" s="35">
        <f t="shared" si="19"/>
        <v>31624.210000000003</v>
      </c>
      <c r="O36" s="35">
        <f t="shared" si="19"/>
        <v>6311.2</v>
      </c>
      <c r="P36" s="35">
        <f t="shared" si="19"/>
        <v>25313.010000000002</v>
      </c>
    </row>
    <row r="37" spans="1:16" hidden="1" x14ac:dyDescent="0.25">
      <c r="E37" s="34"/>
      <c r="F37" s="34"/>
      <c r="G37" s="34">
        <f t="shared" si="1"/>
        <v>0</v>
      </c>
      <c r="H37" s="34"/>
      <c r="I37" s="34"/>
      <c r="J37" s="34">
        <f t="shared" si="0"/>
        <v>0</v>
      </c>
      <c r="K37" s="34"/>
      <c r="L37" s="34"/>
      <c r="M37" s="34">
        <f t="shared" si="2"/>
        <v>0</v>
      </c>
      <c r="N37" s="34">
        <f t="shared" si="3"/>
        <v>0</v>
      </c>
      <c r="O37" s="34">
        <f t="shared" si="4"/>
        <v>0</v>
      </c>
      <c r="P37" s="34">
        <f t="shared" si="5"/>
        <v>0</v>
      </c>
    </row>
    <row r="38" spans="1:16" hidden="1" x14ac:dyDescent="0.25">
      <c r="A38" s="8" t="s">
        <v>20</v>
      </c>
      <c r="B38" s="4" t="str">
        <f>LEFT(A38,4)</f>
        <v>1200</v>
      </c>
      <c r="E38" s="34"/>
      <c r="F38" s="34"/>
      <c r="G38" s="34">
        <f t="shared" si="1"/>
        <v>0</v>
      </c>
      <c r="H38" s="34">
        <f>VLOOKUP($B38,Utility!$A$5:$D$248,3,0)</f>
        <v>43183.07</v>
      </c>
      <c r="I38" s="34">
        <f>VLOOKUP($B38,Utility!$A$5:$D$248,4,0)</f>
        <v>0</v>
      </c>
      <c r="J38" s="34">
        <f t="shared" si="0"/>
        <v>43183.07</v>
      </c>
      <c r="K38" s="34"/>
      <c r="L38" s="34"/>
      <c r="M38" s="34">
        <f t="shared" si="2"/>
        <v>0</v>
      </c>
      <c r="N38" s="34">
        <f t="shared" si="3"/>
        <v>43183.07</v>
      </c>
      <c r="O38" s="34">
        <f t="shared" si="4"/>
        <v>0</v>
      </c>
      <c r="P38" s="34">
        <f t="shared" si="5"/>
        <v>43183.07</v>
      </c>
    </row>
    <row r="39" spans="1:16" hidden="1" x14ac:dyDescent="0.25">
      <c r="A39" s="8" t="s">
        <v>21</v>
      </c>
      <c r="B39" s="4" t="str">
        <f>LEFT(A39,4)</f>
        <v>1250</v>
      </c>
      <c r="E39" s="34"/>
      <c r="F39" s="34"/>
      <c r="G39" s="34">
        <f t="shared" si="1"/>
        <v>0</v>
      </c>
      <c r="H39" s="34">
        <f>VLOOKUP($B39,Utility!$A$5:$D$248,3,0)</f>
        <v>0</v>
      </c>
      <c r="I39" s="34">
        <f>VLOOKUP($B39,Utility!$A$5:$D$248,4,0)</f>
        <v>7822.54</v>
      </c>
      <c r="J39" s="34">
        <f t="shared" si="0"/>
        <v>-7822.54</v>
      </c>
      <c r="K39" s="34"/>
      <c r="L39" s="34"/>
      <c r="M39" s="34">
        <f t="shared" si="2"/>
        <v>0</v>
      </c>
      <c r="N39" s="34">
        <f t="shared" si="3"/>
        <v>0</v>
      </c>
      <c r="O39" s="34">
        <f t="shared" si="4"/>
        <v>7822.54</v>
      </c>
      <c r="P39" s="34">
        <f t="shared" si="5"/>
        <v>-7822.54</v>
      </c>
    </row>
    <row r="40" spans="1:16" hidden="1" x14ac:dyDescent="0.25">
      <c r="A40" s="8" t="s">
        <v>22</v>
      </c>
      <c r="B40" s="4" t="str">
        <f>LEFT(A40,4)</f>
        <v>1300</v>
      </c>
      <c r="E40" s="34"/>
      <c r="F40" s="34"/>
      <c r="G40" s="34">
        <f t="shared" si="1"/>
        <v>0</v>
      </c>
      <c r="H40" s="34">
        <f>VLOOKUP($B40,Utility!$A$5:$D$248,3,0)</f>
        <v>1380.27</v>
      </c>
      <c r="I40" s="34">
        <f>VLOOKUP($B40,Utility!$A$5:$D$248,4,0)</f>
        <v>0</v>
      </c>
      <c r="J40" s="34">
        <f t="shared" si="0"/>
        <v>1380.27</v>
      </c>
      <c r="K40" s="34"/>
      <c r="L40" s="34"/>
      <c r="M40" s="34">
        <f t="shared" si="2"/>
        <v>0</v>
      </c>
      <c r="N40" s="34">
        <f t="shared" si="3"/>
        <v>1380.27</v>
      </c>
      <c r="O40" s="34">
        <f t="shared" si="4"/>
        <v>0</v>
      </c>
      <c r="P40" s="34">
        <f t="shared" si="5"/>
        <v>1380.27</v>
      </c>
    </row>
    <row r="41" spans="1:16" hidden="1" x14ac:dyDescent="0.25">
      <c r="A41" s="8" t="s">
        <v>8</v>
      </c>
      <c r="C41" s="103">
        <f t="shared" ref="C41:D41" si="20">SUM(C38:C40)</f>
        <v>0</v>
      </c>
      <c r="D41" s="99">
        <f t="shared" si="20"/>
        <v>0</v>
      </c>
      <c r="E41" s="35">
        <f>SUM(E38:E40)</f>
        <v>0</v>
      </c>
      <c r="F41" s="35">
        <f t="shared" ref="F41:P41" si="21">SUM(F38:F40)</f>
        <v>0</v>
      </c>
      <c r="G41" s="35">
        <f t="shared" si="21"/>
        <v>0</v>
      </c>
      <c r="H41" s="35">
        <f t="shared" si="21"/>
        <v>44563.34</v>
      </c>
      <c r="I41" s="35">
        <f t="shared" si="21"/>
        <v>7822.54</v>
      </c>
      <c r="J41" s="35">
        <f t="shared" si="21"/>
        <v>36740.799999999996</v>
      </c>
      <c r="K41" s="35">
        <f t="shared" si="21"/>
        <v>0</v>
      </c>
      <c r="L41" s="35">
        <f t="shared" si="21"/>
        <v>0</v>
      </c>
      <c r="M41" s="35">
        <f t="shared" si="21"/>
        <v>0</v>
      </c>
      <c r="N41" s="35">
        <f t="shared" si="21"/>
        <v>44563.34</v>
      </c>
      <c r="O41" s="35">
        <f t="shared" si="21"/>
        <v>7822.54</v>
      </c>
      <c r="P41" s="35">
        <f t="shared" si="21"/>
        <v>36740.799999999996</v>
      </c>
    </row>
    <row r="42" spans="1:16" hidden="1" x14ac:dyDescent="0.25">
      <c r="E42" s="34"/>
      <c r="F42" s="34"/>
      <c r="G42" s="34">
        <f t="shared" si="1"/>
        <v>0</v>
      </c>
      <c r="H42" s="34"/>
      <c r="I42" s="34"/>
      <c r="J42" s="34">
        <f t="shared" si="0"/>
        <v>0</v>
      </c>
      <c r="K42" s="34"/>
      <c r="L42" s="34"/>
      <c r="M42" s="34">
        <f t="shared" si="2"/>
        <v>0</v>
      </c>
      <c r="N42" s="34">
        <f t="shared" si="3"/>
        <v>0</v>
      </c>
      <c r="O42" s="34">
        <f t="shared" si="4"/>
        <v>0</v>
      </c>
      <c r="P42" s="34">
        <f t="shared" si="5"/>
        <v>0</v>
      </c>
    </row>
    <row r="43" spans="1:16" hidden="1" x14ac:dyDescent="0.25">
      <c r="A43" s="8" t="s">
        <v>23</v>
      </c>
      <c r="B43" s="4" t="str">
        <f>LEFT(A43,4)</f>
        <v>1200</v>
      </c>
      <c r="E43" s="34"/>
      <c r="F43" s="34"/>
      <c r="G43" s="34">
        <f t="shared" si="1"/>
        <v>0</v>
      </c>
      <c r="H43" s="34"/>
      <c r="I43" s="34"/>
      <c r="J43" s="34">
        <f t="shared" si="0"/>
        <v>0</v>
      </c>
      <c r="K43" s="34">
        <f>VLOOKUP($B43,Arena_Sage!$A$5:$D$189,3,0)</f>
        <v>29154.9</v>
      </c>
      <c r="L43" s="34">
        <f>VLOOKUP($B43,Arena_Sage!$A$5:$D$189,4,0)</f>
        <v>0</v>
      </c>
      <c r="M43" s="34">
        <f t="shared" si="2"/>
        <v>29154.9</v>
      </c>
      <c r="N43" s="34">
        <f t="shared" si="3"/>
        <v>29154.9</v>
      </c>
      <c r="O43" s="34">
        <f t="shared" si="4"/>
        <v>0</v>
      </c>
      <c r="P43" s="34">
        <f t="shared" si="5"/>
        <v>29154.9</v>
      </c>
    </row>
    <row r="44" spans="1:16" hidden="1" x14ac:dyDescent="0.25">
      <c r="A44" s="8" t="s">
        <v>24</v>
      </c>
      <c r="B44" s="4" t="str">
        <f>LEFT(A44,4)</f>
        <v>1210</v>
      </c>
      <c r="E44" s="34"/>
      <c r="F44" s="34"/>
      <c r="G44" s="34">
        <f t="shared" si="1"/>
        <v>0</v>
      </c>
      <c r="H44" s="34"/>
      <c r="I44" s="34"/>
      <c r="J44" s="34">
        <f t="shared" si="0"/>
        <v>0</v>
      </c>
      <c r="K44" s="34">
        <f>VLOOKUP($B44,Arena_Sage!$A$5:$D$189,3,0)</f>
        <v>0</v>
      </c>
      <c r="L44" s="34">
        <f>VLOOKUP($B44,Arena_Sage!$A$5:$D$189,4,0)</f>
        <v>0</v>
      </c>
      <c r="M44" s="34">
        <f t="shared" si="2"/>
        <v>0</v>
      </c>
      <c r="N44" s="34">
        <f t="shared" si="3"/>
        <v>0</v>
      </c>
      <c r="O44" s="34">
        <f t="shared" si="4"/>
        <v>0</v>
      </c>
      <c r="P44" s="34">
        <f t="shared" si="5"/>
        <v>0</v>
      </c>
    </row>
    <row r="45" spans="1:16" hidden="1" x14ac:dyDescent="0.25">
      <c r="A45" s="8" t="s">
        <v>25</v>
      </c>
      <c r="B45" s="4" t="str">
        <f>LEFT(A45,4)</f>
        <v>1300</v>
      </c>
      <c r="E45" s="34"/>
      <c r="F45" s="34"/>
      <c r="G45" s="34">
        <f t="shared" si="1"/>
        <v>0</v>
      </c>
      <c r="H45" s="34"/>
      <c r="I45" s="34"/>
      <c r="J45" s="34">
        <f t="shared" si="0"/>
        <v>0</v>
      </c>
      <c r="K45" s="34">
        <f>VLOOKUP($B45,Arena_Sage!$A$5:$D$189,3,0)</f>
        <v>3090.06</v>
      </c>
      <c r="L45" s="34">
        <f>VLOOKUP($B45,Arena_Sage!$A$5:$D$189,4,0)</f>
        <v>0</v>
      </c>
      <c r="M45" s="34">
        <f t="shared" si="2"/>
        <v>3090.06</v>
      </c>
      <c r="N45" s="34">
        <f t="shared" si="3"/>
        <v>3090.06</v>
      </c>
      <c r="O45" s="34">
        <f t="shared" si="4"/>
        <v>0</v>
      </c>
      <c r="P45" s="34">
        <f t="shared" si="5"/>
        <v>3090.06</v>
      </c>
    </row>
    <row r="46" spans="1:16" hidden="1" x14ac:dyDescent="0.25">
      <c r="A46" s="8" t="s">
        <v>26</v>
      </c>
      <c r="B46" s="4" t="str">
        <f>LEFT(A46,4)</f>
        <v>2030</v>
      </c>
      <c r="E46" s="34"/>
      <c r="F46" s="34"/>
      <c r="G46" s="34">
        <f t="shared" si="1"/>
        <v>0</v>
      </c>
      <c r="H46" s="34"/>
      <c r="I46" s="34"/>
      <c r="J46" s="34">
        <f t="shared" si="0"/>
        <v>0</v>
      </c>
      <c r="K46" s="34">
        <f>VLOOKUP($B46,Arena_Sage!$A$5:$D$189,3,0)</f>
        <v>0</v>
      </c>
      <c r="L46" s="34">
        <f>VLOOKUP($B46,Arena_Sage!$A$5:$D$189,4,0)</f>
        <v>5997.99</v>
      </c>
      <c r="M46" s="34">
        <f t="shared" si="2"/>
        <v>-5997.99</v>
      </c>
      <c r="N46" s="34">
        <f t="shared" si="3"/>
        <v>0</v>
      </c>
      <c r="O46" s="34">
        <f t="shared" si="4"/>
        <v>5997.99</v>
      </c>
      <c r="P46" s="34">
        <f t="shared" si="5"/>
        <v>-5997.99</v>
      </c>
    </row>
    <row r="47" spans="1:16" hidden="1" x14ac:dyDescent="0.25">
      <c r="A47" s="8" t="s">
        <v>12</v>
      </c>
      <c r="C47" s="103">
        <f t="shared" ref="C47:D47" si="22">SUM(C43:C46)</f>
        <v>0</v>
      </c>
      <c r="D47" s="99">
        <f t="shared" si="22"/>
        <v>0</v>
      </c>
      <c r="E47" s="35">
        <f>SUM(E43:E46)</f>
        <v>0</v>
      </c>
      <c r="F47" s="35">
        <f t="shared" ref="F47:P47" si="23">SUM(F43:F46)</f>
        <v>0</v>
      </c>
      <c r="G47" s="35">
        <f t="shared" si="23"/>
        <v>0</v>
      </c>
      <c r="H47" s="35">
        <f t="shared" si="23"/>
        <v>0</v>
      </c>
      <c r="I47" s="35">
        <f t="shared" si="23"/>
        <v>0</v>
      </c>
      <c r="J47" s="35">
        <f t="shared" si="23"/>
        <v>0</v>
      </c>
      <c r="K47" s="35">
        <f t="shared" si="23"/>
        <v>32244.960000000003</v>
      </c>
      <c r="L47" s="35">
        <f t="shared" si="23"/>
        <v>5997.99</v>
      </c>
      <c r="M47" s="35">
        <f t="shared" si="23"/>
        <v>26246.97</v>
      </c>
      <c r="N47" s="35">
        <f t="shared" si="23"/>
        <v>32244.960000000003</v>
      </c>
      <c r="O47" s="35">
        <f t="shared" si="23"/>
        <v>5997.99</v>
      </c>
      <c r="P47" s="35">
        <f t="shared" si="23"/>
        <v>26246.97</v>
      </c>
    </row>
    <row r="48" spans="1:16" hidden="1" x14ac:dyDescent="0.25">
      <c r="E48" s="34"/>
      <c r="F48" s="34"/>
      <c r="G48" s="34">
        <f t="shared" si="1"/>
        <v>0</v>
      </c>
      <c r="H48" s="34"/>
      <c r="I48" s="34"/>
      <c r="J48" s="34">
        <f t="shared" si="0"/>
        <v>0</v>
      </c>
      <c r="K48" s="34"/>
      <c r="L48" s="34"/>
      <c r="M48" s="34">
        <f t="shared" si="2"/>
        <v>0</v>
      </c>
      <c r="N48" s="34">
        <f t="shared" si="3"/>
        <v>0</v>
      </c>
      <c r="O48" s="34">
        <f t="shared" si="4"/>
        <v>0</v>
      </c>
      <c r="P48" s="34">
        <f t="shared" si="5"/>
        <v>0</v>
      </c>
    </row>
    <row r="49" spans="1:16" hidden="1" x14ac:dyDescent="0.25">
      <c r="A49" s="9" t="s">
        <v>27</v>
      </c>
      <c r="B49" s="12" t="str">
        <f>LEFT(A49,5)</f>
        <v xml:space="preserve">C. 1 </v>
      </c>
      <c r="C49" s="103">
        <f t="shared" ref="C49:D49" si="24">C36+C41+C47</f>
        <v>0</v>
      </c>
      <c r="D49" s="99">
        <f t="shared" si="24"/>
        <v>0</v>
      </c>
      <c r="E49" s="35">
        <f>E36+E41+E47</f>
        <v>31624.210000000003</v>
      </c>
      <c r="F49" s="35">
        <f t="shared" ref="F49:P49" si="25">F36+F41+F47</f>
        <v>6311.2</v>
      </c>
      <c r="G49" s="35">
        <f t="shared" si="25"/>
        <v>25313.010000000002</v>
      </c>
      <c r="H49" s="35">
        <f t="shared" si="25"/>
        <v>44563.34</v>
      </c>
      <c r="I49" s="35">
        <f t="shared" si="25"/>
        <v>7822.54</v>
      </c>
      <c r="J49" s="35">
        <f t="shared" si="25"/>
        <v>36740.799999999996</v>
      </c>
      <c r="K49" s="35">
        <f t="shared" si="25"/>
        <v>32244.960000000003</v>
      </c>
      <c r="L49" s="35">
        <f t="shared" si="25"/>
        <v>5997.99</v>
      </c>
      <c r="M49" s="35">
        <f t="shared" si="25"/>
        <v>26246.97</v>
      </c>
      <c r="N49" s="35">
        <f t="shared" si="25"/>
        <v>108432.51000000001</v>
      </c>
      <c r="O49" s="35">
        <f t="shared" si="25"/>
        <v>20131.73</v>
      </c>
      <c r="P49" s="35">
        <f t="shared" si="25"/>
        <v>88300.78</v>
      </c>
    </row>
    <row r="50" spans="1:16" hidden="1" x14ac:dyDescent="0.25">
      <c r="E50" s="34"/>
      <c r="F50" s="34"/>
      <c r="G50" s="34">
        <f t="shared" si="1"/>
        <v>0</v>
      </c>
      <c r="H50" s="34"/>
      <c r="I50" s="34"/>
      <c r="J50" s="34">
        <f t="shared" si="0"/>
        <v>0</v>
      </c>
      <c r="K50" s="34"/>
      <c r="L50" s="34"/>
      <c r="M50" s="34">
        <f t="shared" si="2"/>
        <v>0</v>
      </c>
      <c r="N50" s="34">
        <f t="shared" si="3"/>
        <v>0</v>
      </c>
      <c r="O50" s="34">
        <f t="shared" si="4"/>
        <v>0</v>
      </c>
      <c r="P50" s="34">
        <f t="shared" si="5"/>
        <v>0</v>
      </c>
    </row>
    <row r="51" spans="1:16" hidden="1" x14ac:dyDescent="0.25">
      <c r="A51" s="8" t="s">
        <v>28</v>
      </c>
      <c r="B51" s="4" t="str">
        <f>LEFT(A51,4)</f>
        <v>1500</v>
      </c>
      <c r="E51" s="34">
        <f>VLOOKUP($B51,Town_Sage!$A$5:$D$399,3,0)</f>
        <v>22676.98</v>
      </c>
      <c r="F51" s="34">
        <f>VLOOKUP($B51,Town_Sage!$A$5:$D$399,4,0)</f>
        <v>0</v>
      </c>
      <c r="G51" s="34">
        <f t="shared" si="1"/>
        <v>22676.98</v>
      </c>
      <c r="H51" s="34"/>
      <c r="I51" s="34"/>
      <c r="J51" s="34">
        <f t="shared" si="0"/>
        <v>0</v>
      </c>
      <c r="K51" s="34"/>
      <c r="L51" s="34"/>
      <c r="M51" s="34">
        <f t="shared" si="2"/>
        <v>0</v>
      </c>
      <c r="N51" s="34">
        <f t="shared" si="3"/>
        <v>22676.98</v>
      </c>
      <c r="O51" s="34">
        <f t="shared" si="4"/>
        <v>0</v>
      </c>
      <c r="P51" s="34">
        <f t="shared" si="5"/>
        <v>22676.98</v>
      </c>
    </row>
    <row r="52" spans="1:16" hidden="1" x14ac:dyDescent="0.25">
      <c r="A52" s="8" t="s">
        <v>5</v>
      </c>
      <c r="C52" s="103">
        <f t="shared" ref="C52:D52" si="26">C51</f>
        <v>0</v>
      </c>
      <c r="D52" s="99">
        <f t="shared" si="26"/>
        <v>0</v>
      </c>
      <c r="E52" s="35">
        <f>E51</f>
        <v>22676.98</v>
      </c>
      <c r="F52" s="35">
        <f t="shared" ref="F52:P52" si="27">F51</f>
        <v>0</v>
      </c>
      <c r="G52" s="35">
        <f t="shared" si="27"/>
        <v>22676.98</v>
      </c>
      <c r="H52" s="35">
        <f t="shared" si="27"/>
        <v>0</v>
      </c>
      <c r="I52" s="35">
        <f t="shared" si="27"/>
        <v>0</v>
      </c>
      <c r="J52" s="35">
        <f t="shared" si="27"/>
        <v>0</v>
      </c>
      <c r="K52" s="35">
        <f t="shared" si="27"/>
        <v>0</v>
      </c>
      <c r="L52" s="35">
        <f t="shared" si="27"/>
        <v>0</v>
      </c>
      <c r="M52" s="35">
        <f t="shared" si="27"/>
        <v>0</v>
      </c>
      <c r="N52" s="35">
        <f t="shared" si="27"/>
        <v>22676.98</v>
      </c>
      <c r="O52" s="35">
        <f t="shared" si="27"/>
        <v>0</v>
      </c>
      <c r="P52" s="35">
        <f t="shared" si="27"/>
        <v>22676.98</v>
      </c>
    </row>
    <row r="53" spans="1:16" hidden="1" x14ac:dyDescent="0.25">
      <c r="E53" s="34"/>
      <c r="F53" s="34"/>
      <c r="G53" s="34">
        <f t="shared" si="1"/>
        <v>0</v>
      </c>
      <c r="H53" s="34"/>
      <c r="I53" s="34"/>
      <c r="J53" s="34">
        <f t="shared" si="0"/>
        <v>0</v>
      </c>
      <c r="K53" s="34"/>
      <c r="L53" s="34"/>
      <c r="M53" s="34">
        <f t="shared" si="2"/>
        <v>0</v>
      </c>
      <c r="N53" s="34">
        <f t="shared" si="3"/>
        <v>0</v>
      </c>
      <c r="O53" s="34">
        <f t="shared" si="4"/>
        <v>0</v>
      </c>
      <c r="P53" s="34">
        <f t="shared" si="5"/>
        <v>0</v>
      </c>
    </row>
    <row r="54" spans="1:16" hidden="1" x14ac:dyDescent="0.25">
      <c r="A54" s="8" t="s">
        <v>29</v>
      </c>
      <c r="B54" s="4" t="str">
        <f>LEFT(A54,4)</f>
        <v>1350</v>
      </c>
      <c r="E54" s="34"/>
      <c r="F54" s="34"/>
      <c r="G54" s="34">
        <f t="shared" si="1"/>
        <v>0</v>
      </c>
      <c r="H54" s="34"/>
      <c r="I54" s="34"/>
      <c r="J54" s="34">
        <f t="shared" si="0"/>
        <v>0</v>
      </c>
      <c r="K54" s="34">
        <f>VLOOKUP($B54,Arena_Sage!$A$5:$D$189,3,0)</f>
        <v>159.72999999999999</v>
      </c>
      <c r="L54" s="34">
        <f>VLOOKUP($B54,Arena_Sage!$A$5:$D$189,4,0)</f>
        <v>0</v>
      </c>
      <c r="M54" s="34">
        <f t="shared" si="2"/>
        <v>159.72999999999999</v>
      </c>
      <c r="N54" s="34">
        <f t="shared" si="3"/>
        <v>159.72999999999999</v>
      </c>
      <c r="O54" s="34">
        <f t="shared" si="4"/>
        <v>0</v>
      </c>
      <c r="P54" s="34">
        <f t="shared" si="5"/>
        <v>159.72999999999999</v>
      </c>
    </row>
    <row r="55" spans="1:16" hidden="1" x14ac:dyDescent="0.25">
      <c r="A55" s="8" t="s">
        <v>12</v>
      </c>
      <c r="C55" s="103">
        <f t="shared" ref="C55:D55" si="28">C54</f>
        <v>0</v>
      </c>
      <c r="D55" s="99">
        <f t="shared" si="28"/>
        <v>0</v>
      </c>
      <c r="E55" s="35">
        <f>E54</f>
        <v>0</v>
      </c>
      <c r="F55" s="35">
        <f t="shared" ref="F55:P55" si="29">F54</f>
        <v>0</v>
      </c>
      <c r="G55" s="35">
        <f t="shared" si="29"/>
        <v>0</v>
      </c>
      <c r="H55" s="35">
        <f t="shared" si="29"/>
        <v>0</v>
      </c>
      <c r="I55" s="35">
        <f t="shared" si="29"/>
        <v>0</v>
      </c>
      <c r="J55" s="35">
        <f t="shared" si="29"/>
        <v>0</v>
      </c>
      <c r="K55" s="35">
        <f t="shared" si="29"/>
        <v>159.72999999999999</v>
      </c>
      <c r="L55" s="35">
        <f t="shared" si="29"/>
        <v>0</v>
      </c>
      <c r="M55" s="35">
        <f t="shared" si="29"/>
        <v>159.72999999999999</v>
      </c>
      <c r="N55" s="35">
        <f t="shared" si="29"/>
        <v>159.72999999999999</v>
      </c>
      <c r="O55" s="35">
        <f t="shared" si="29"/>
        <v>0</v>
      </c>
      <c r="P55" s="35">
        <f t="shared" si="29"/>
        <v>159.72999999999999</v>
      </c>
    </row>
    <row r="56" spans="1:16" hidden="1" x14ac:dyDescent="0.25">
      <c r="E56" s="34"/>
      <c r="F56" s="34"/>
      <c r="G56" s="34">
        <f t="shared" si="1"/>
        <v>0</v>
      </c>
      <c r="H56" s="34"/>
      <c r="I56" s="34"/>
      <c r="J56" s="34">
        <f t="shared" si="0"/>
        <v>0</v>
      </c>
      <c r="K56" s="34"/>
      <c r="L56" s="34"/>
      <c r="M56" s="34">
        <f t="shared" si="2"/>
        <v>0</v>
      </c>
      <c r="N56" s="34">
        <f t="shared" si="3"/>
        <v>0</v>
      </c>
      <c r="O56" s="34">
        <f t="shared" si="4"/>
        <v>0</v>
      </c>
      <c r="P56" s="34">
        <f t="shared" si="5"/>
        <v>0</v>
      </c>
    </row>
    <row r="57" spans="1:16" hidden="1" x14ac:dyDescent="0.25">
      <c r="A57" s="9" t="s">
        <v>30</v>
      </c>
      <c r="B57" s="12" t="str">
        <f>LEFT(A57,5)</f>
        <v xml:space="preserve">E. 1 </v>
      </c>
      <c r="C57" s="103">
        <f t="shared" ref="C57:D57" si="30">C52+C55</f>
        <v>0</v>
      </c>
      <c r="D57" s="99">
        <f t="shared" si="30"/>
        <v>0</v>
      </c>
      <c r="E57" s="35">
        <f>E52+E55</f>
        <v>22676.98</v>
      </c>
      <c r="F57" s="35">
        <f t="shared" ref="F57:P57" si="31">F52+F55</f>
        <v>0</v>
      </c>
      <c r="G57" s="35">
        <f t="shared" si="31"/>
        <v>22676.98</v>
      </c>
      <c r="H57" s="35">
        <f t="shared" si="31"/>
        <v>0</v>
      </c>
      <c r="I57" s="35">
        <f t="shared" si="31"/>
        <v>0</v>
      </c>
      <c r="J57" s="35">
        <f t="shared" si="31"/>
        <v>0</v>
      </c>
      <c r="K57" s="35">
        <f t="shared" si="31"/>
        <v>159.72999999999999</v>
      </c>
      <c r="L57" s="35">
        <f t="shared" si="31"/>
        <v>0</v>
      </c>
      <c r="M57" s="35">
        <f t="shared" si="31"/>
        <v>159.72999999999999</v>
      </c>
      <c r="N57" s="35">
        <f t="shared" si="31"/>
        <v>22836.71</v>
      </c>
      <c r="O57" s="35">
        <f t="shared" si="31"/>
        <v>0</v>
      </c>
      <c r="P57" s="35">
        <f t="shared" si="31"/>
        <v>22836.71</v>
      </c>
    </row>
    <row r="58" spans="1:16" hidden="1" x14ac:dyDescent="0.25">
      <c r="E58" s="34"/>
      <c r="F58" s="34"/>
      <c r="G58" s="34">
        <f t="shared" si="1"/>
        <v>0</v>
      </c>
      <c r="H58" s="34"/>
      <c r="I58" s="34"/>
      <c r="J58" s="34">
        <f t="shared" si="0"/>
        <v>0</v>
      </c>
      <c r="K58" s="34"/>
      <c r="L58" s="34"/>
      <c r="M58" s="34">
        <f t="shared" si="2"/>
        <v>0</v>
      </c>
      <c r="N58" s="34">
        <f t="shared" si="3"/>
        <v>0</v>
      </c>
      <c r="O58" s="34">
        <f t="shared" si="4"/>
        <v>0</v>
      </c>
      <c r="P58" s="34">
        <f t="shared" si="5"/>
        <v>0</v>
      </c>
    </row>
    <row r="59" spans="1:16" hidden="1" x14ac:dyDescent="0.25">
      <c r="A59" s="8" t="s">
        <v>31</v>
      </c>
      <c r="B59" s="4" t="str">
        <f>LEFT(A59,4)</f>
        <v>1350</v>
      </c>
      <c r="E59" s="34">
        <f>VLOOKUP($B59,Town_Sage!$A$5:$D$399,3,0)</f>
        <v>376312.21</v>
      </c>
      <c r="F59" s="34">
        <f>VLOOKUP($B59,Town_Sage!$A$5:$D$399,4,0)</f>
        <v>0</v>
      </c>
      <c r="G59" s="34">
        <f t="shared" si="1"/>
        <v>376312.21</v>
      </c>
      <c r="H59" s="34"/>
      <c r="I59" s="34"/>
      <c r="J59" s="34">
        <f t="shared" si="0"/>
        <v>0</v>
      </c>
      <c r="K59" s="34"/>
      <c r="L59" s="34"/>
      <c r="M59" s="34">
        <f t="shared" si="2"/>
        <v>0</v>
      </c>
      <c r="N59" s="34">
        <f t="shared" si="3"/>
        <v>376312.21</v>
      </c>
      <c r="O59" s="34">
        <f t="shared" si="4"/>
        <v>0</v>
      </c>
      <c r="P59" s="34">
        <f t="shared" si="5"/>
        <v>376312.21</v>
      </c>
    </row>
    <row r="60" spans="1:16" hidden="1" x14ac:dyDescent="0.25">
      <c r="A60" s="8" t="s">
        <v>32</v>
      </c>
      <c r="B60" s="4" t="str">
        <f>LEFT(A60,4)</f>
        <v>1351</v>
      </c>
      <c r="E60" s="34">
        <f>VLOOKUP($B60,Town_Sage!$A$5:$D$399,3,0)</f>
        <v>0</v>
      </c>
      <c r="F60" s="34">
        <f>VLOOKUP($B60,Town_Sage!$A$5:$D$399,4,0)</f>
        <v>0</v>
      </c>
      <c r="G60" s="34">
        <f t="shared" si="1"/>
        <v>0</v>
      </c>
      <c r="H60" s="34"/>
      <c r="I60" s="34"/>
      <c r="J60" s="34">
        <f t="shared" si="0"/>
        <v>0</v>
      </c>
      <c r="K60" s="34"/>
      <c r="L60" s="34"/>
      <c r="M60" s="34">
        <f t="shared" si="2"/>
        <v>0</v>
      </c>
      <c r="N60" s="34">
        <f t="shared" si="3"/>
        <v>0</v>
      </c>
      <c r="O60" s="34">
        <f t="shared" si="4"/>
        <v>0</v>
      </c>
      <c r="P60" s="34">
        <f t="shared" si="5"/>
        <v>0</v>
      </c>
    </row>
    <row r="61" spans="1:16" hidden="1" x14ac:dyDescent="0.25">
      <c r="A61" s="8" t="s">
        <v>33</v>
      </c>
      <c r="B61" s="4" t="str">
        <f>LEFT(A61,4)</f>
        <v>1450</v>
      </c>
      <c r="E61" s="34">
        <f>VLOOKUP($B61,Town_Sage!$A$5:$D$399,3,0)</f>
        <v>487170.37</v>
      </c>
      <c r="F61" s="34">
        <f>VLOOKUP($B61,Town_Sage!$A$5:$D$399,4,0)</f>
        <v>0</v>
      </c>
      <c r="G61" s="34">
        <f t="shared" si="1"/>
        <v>487170.37</v>
      </c>
      <c r="H61" s="34"/>
      <c r="I61" s="34"/>
      <c r="J61" s="34">
        <f t="shared" si="0"/>
        <v>0</v>
      </c>
      <c r="K61" s="34"/>
      <c r="L61" s="34"/>
      <c r="M61" s="34">
        <f t="shared" si="2"/>
        <v>0</v>
      </c>
      <c r="N61" s="34">
        <f t="shared" si="3"/>
        <v>487170.37</v>
      </c>
      <c r="O61" s="34">
        <f t="shared" si="4"/>
        <v>0</v>
      </c>
      <c r="P61" s="34">
        <f t="shared" si="5"/>
        <v>487170.37</v>
      </c>
    </row>
    <row r="62" spans="1:16" hidden="1" x14ac:dyDescent="0.25">
      <c r="A62" s="8" t="s">
        <v>5</v>
      </c>
      <c r="C62" s="103">
        <f t="shared" ref="C62:D62" si="32">SUM(C59:C61)</f>
        <v>0</v>
      </c>
      <c r="D62" s="99">
        <f t="shared" si="32"/>
        <v>0</v>
      </c>
      <c r="E62" s="35">
        <f>SUM(E59:E61)</f>
        <v>863482.58000000007</v>
      </c>
      <c r="F62" s="35">
        <f t="shared" ref="F62:P62" si="33">SUM(F59:F61)</f>
        <v>0</v>
      </c>
      <c r="G62" s="35">
        <f t="shared" si="33"/>
        <v>863482.58000000007</v>
      </c>
      <c r="H62" s="35">
        <f t="shared" si="33"/>
        <v>0</v>
      </c>
      <c r="I62" s="35">
        <f t="shared" si="33"/>
        <v>0</v>
      </c>
      <c r="J62" s="35">
        <f t="shared" si="33"/>
        <v>0</v>
      </c>
      <c r="K62" s="35">
        <f t="shared" si="33"/>
        <v>0</v>
      </c>
      <c r="L62" s="35">
        <f t="shared" si="33"/>
        <v>0</v>
      </c>
      <c r="M62" s="35">
        <f t="shared" si="33"/>
        <v>0</v>
      </c>
      <c r="N62" s="35">
        <f t="shared" si="33"/>
        <v>863482.58000000007</v>
      </c>
      <c r="O62" s="35">
        <f t="shared" si="33"/>
        <v>0</v>
      </c>
      <c r="P62" s="35">
        <f t="shared" si="33"/>
        <v>863482.58000000007</v>
      </c>
    </row>
    <row r="63" spans="1:16" hidden="1" x14ac:dyDescent="0.25">
      <c r="E63" s="34"/>
      <c r="F63" s="34"/>
      <c r="G63" s="34">
        <f t="shared" si="1"/>
        <v>0</v>
      </c>
      <c r="H63" s="34"/>
      <c r="I63" s="34"/>
      <c r="J63" s="34">
        <f t="shared" si="0"/>
        <v>0</v>
      </c>
      <c r="K63" s="34"/>
      <c r="L63" s="34"/>
      <c r="M63" s="34">
        <f t="shared" si="2"/>
        <v>0</v>
      </c>
      <c r="N63" s="34">
        <f t="shared" si="3"/>
        <v>0</v>
      </c>
      <c r="O63" s="34">
        <f t="shared" si="4"/>
        <v>0</v>
      </c>
      <c r="P63" s="34">
        <f t="shared" si="5"/>
        <v>0</v>
      </c>
    </row>
    <row r="64" spans="1:16" hidden="1" x14ac:dyDescent="0.25">
      <c r="A64" s="8" t="s">
        <v>34</v>
      </c>
      <c r="B64" s="4" t="str">
        <f>LEFT(A64,4)</f>
        <v>1500</v>
      </c>
      <c r="E64" s="34"/>
      <c r="F64" s="34"/>
      <c r="G64" s="34">
        <f t="shared" si="1"/>
        <v>0</v>
      </c>
      <c r="H64" s="34">
        <f>VLOOKUP($B64,Utility!$A$5:$D$248,3,0)</f>
        <v>0</v>
      </c>
      <c r="I64" s="34">
        <f>VLOOKUP($B64,Utility!$A$5:$D$248,4,0)</f>
        <v>376312.21</v>
      </c>
      <c r="J64" s="34">
        <f t="shared" si="0"/>
        <v>-376312.21</v>
      </c>
      <c r="K64" s="34"/>
      <c r="L64" s="34"/>
      <c r="M64" s="34">
        <f t="shared" si="2"/>
        <v>0</v>
      </c>
      <c r="N64" s="34">
        <f t="shared" si="3"/>
        <v>0</v>
      </c>
      <c r="O64" s="34">
        <f t="shared" si="4"/>
        <v>376312.21</v>
      </c>
      <c r="P64" s="34">
        <f t="shared" si="5"/>
        <v>-376312.21</v>
      </c>
    </row>
    <row r="65" spans="1:17" hidden="1" x14ac:dyDescent="0.25">
      <c r="A65" s="8" t="s">
        <v>35</v>
      </c>
      <c r="B65" s="4" t="str">
        <f>LEFT(A65,4)</f>
        <v>1501</v>
      </c>
      <c r="E65" s="34"/>
      <c r="F65" s="34"/>
      <c r="G65" s="34">
        <f t="shared" si="1"/>
        <v>0</v>
      </c>
      <c r="H65" s="34">
        <f>VLOOKUP($B65,Utility!$A$5:$D$248,3,0)</f>
        <v>0</v>
      </c>
      <c r="I65" s="34">
        <f>VLOOKUP($B65,Utility!$A$5:$D$248,4,0)</f>
        <v>0</v>
      </c>
      <c r="J65" s="34">
        <f t="shared" si="0"/>
        <v>0</v>
      </c>
      <c r="K65" s="34"/>
      <c r="L65" s="34"/>
      <c r="M65" s="34">
        <f t="shared" si="2"/>
        <v>0</v>
      </c>
      <c r="N65" s="34">
        <f t="shared" si="3"/>
        <v>0</v>
      </c>
      <c r="O65" s="34">
        <f t="shared" si="4"/>
        <v>0</v>
      </c>
      <c r="P65" s="34">
        <f t="shared" si="5"/>
        <v>0</v>
      </c>
    </row>
    <row r="66" spans="1:17" hidden="1" x14ac:dyDescent="0.25">
      <c r="A66" s="8" t="s">
        <v>36</v>
      </c>
      <c r="B66" s="4" t="str">
        <f>LEFT(A66,4)</f>
        <v>1510</v>
      </c>
      <c r="E66" s="34"/>
      <c r="F66" s="34"/>
      <c r="G66" s="34">
        <f t="shared" si="1"/>
        <v>0</v>
      </c>
      <c r="H66" s="34">
        <f>VLOOKUP($B66,Utility!$A$5:$D$248,3,0)</f>
        <v>0</v>
      </c>
      <c r="I66" s="34">
        <f>VLOOKUP($B66,Utility!$A$5:$D$248,4,0)</f>
        <v>8263.5</v>
      </c>
      <c r="J66" s="34">
        <f t="shared" si="0"/>
        <v>-8263.5</v>
      </c>
      <c r="K66" s="34"/>
      <c r="L66" s="34"/>
      <c r="M66" s="34">
        <f t="shared" si="2"/>
        <v>0</v>
      </c>
      <c r="N66" s="34">
        <f t="shared" si="3"/>
        <v>0</v>
      </c>
      <c r="O66" s="34">
        <f t="shared" si="4"/>
        <v>8263.5</v>
      </c>
      <c r="P66" s="34">
        <f t="shared" si="5"/>
        <v>-8263.5</v>
      </c>
    </row>
    <row r="67" spans="1:17" hidden="1" x14ac:dyDescent="0.25">
      <c r="A67" s="8" t="s">
        <v>37</v>
      </c>
      <c r="B67" s="4" t="str">
        <f>LEFT(A67,4)</f>
        <v>1550</v>
      </c>
      <c r="E67" s="34"/>
      <c r="F67" s="34"/>
      <c r="G67" s="34">
        <f t="shared" si="1"/>
        <v>0</v>
      </c>
      <c r="H67" s="34">
        <f>VLOOKUP($B67,Utility!$A$5:$D$248,3,0)</f>
        <v>1107351.29</v>
      </c>
      <c r="I67" s="34">
        <f>VLOOKUP($B67,Utility!$A$5:$D$248,4,0)</f>
        <v>0</v>
      </c>
      <c r="J67" s="34">
        <f t="shared" si="0"/>
        <v>1107351.29</v>
      </c>
      <c r="K67" s="34"/>
      <c r="L67" s="34"/>
      <c r="M67" s="34">
        <f t="shared" si="2"/>
        <v>0</v>
      </c>
      <c r="N67" s="34">
        <f t="shared" si="3"/>
        <v>1107351.29</v>
      </c>
      <c r="O67" s="34">
        <f t="shared" si="4"/>
        <v>0</v>
      </c>
      <c r="P67" s="34">
        <f t="shared" si="5"/>
        <v>1107351.29</v>
      </c>
    </row>
    <row r="68" spans="1:17" hidden="1" x14ac:dyDescent="0.25">
      <c r="A68" s="8" t="s">
        <v>38</v>
      </c>
      <c r="B68" s="4" t="str">
        <f>LEFT(A68,4)</f>
        <v>2755</v>
      </c>
      <c r="E68" s="34"/>
      <c r="F68" s="34"/>
      <c r="G68" s="34">
        <f t="shared" si="1"/>
        <v>0</v>
      </c>
      <c r="H68" s="34">
        <f>VLOOKUP($B68,Utility!$A$5:$D$248,3,0)</f>
        <v>0</v>
      </c>
      <c r="I68" s="34">
        <f>VLOOKUP($B68,Utility!$A$5:$D$248,4,0)</f>
        <v>1107351.0900000001</v>
      </c>
      <c r="J68" s="34">
        <f t="shared" si="0"/>
        <v>-1107351.0900000001</v>
      </c>
      <c r="K68" s="34"/>
      <c r="L68" s="34"/>
      <c r="M68" s="34">
        <f t="shared" si="2"/>
        <v>0</v>
      </c>
      <c r="N68" s="34">
        <f t="shared" si="3"/>
        <v>0</v>
      </c>
      <c r="O68" s="34">
        <f t="shared" si="4"/>
        <v>1107351.0900000001</v>
      </c>
      <c r="P68" s="34">
        <f t="shared" si="5"/>
        <v>-1107351.0900000001</v>
      </c>
    </row>
    <row r="69" spans="1:17" hidden="1" x14ac:dyDescent="0.25">
      <c r="A69" s="8" t="s">
        <v>8</v>
      </c>
      <c r="C69" s="103">
        <f t="shared" ref="C69:D69" si="34">SUM(C64:C68)</f>
        <v>0</v>
      </c>
      <c r="D69" s="99">
        <f t="shared" si="34"/>
        <v>0</v>
      </c>
      <c r="E69" s="35">
        <f>SUM(E64:E68)</f>
        <v>0</v>
      </c>
      <c r="F69" s="35">
        <f t="shared" ref="F69:Q69" si="35">SUM(F64:F68)</f>
        <v>0</v>
      </c>
      <c r="G69" s="35">
        <f t="shared" si="35"/>
        <v>0</v>
      </c>
      <c r="H69" s="35">
        <f t="shared" si="35"/>
        <v>1107351.29</v>
      </c>
      <c r="I69" s="35">
        <f t="shared" si="35"/>
        <v>1491926.8</v>
      </c>
      <c r="J69" s="35">
        <f t="shared" si="35"/>
        <v>-384575.51</v>
      </c>
      <c r="K69" s="35">
        <f t="shared" si="35"/>
        <v>0</v>
      </c>
      <c r="L69" s="35">
        <f t="shared" si="35"/>
        <v>0</v>
      </c>
      <c r="M69" s="35">
        <f t="shared" si="35"/>
        <v>0</v>
      </c>
      <c r="N69" s="35">
        <f t="shared" si="35"/>
        <v>1107351.29</v>
      </c>
      <c r="O69" s="35">
        <f t="shared" si="35"/>
        <v>1491926.8</v>
      </c>
      <c r="P69" s="35">
        <f t="shared" si="35"/>
        <v>-384575.51</v>
      </c>
      <c r="Q69" s="26">
        <f t="shared" si="35"/>
        <v>0</v>
      </c>
    </row>
    <row r="70" spans="1:17" hidden="1" x14ac:dyDescent="0.25">
      <c r="E70" s="34"/>
      <c r="F70" s="34"/>
      <c r="G70" s="34">
        <f t="shared" si="1"/>
        <v>0</v>
      </c>
      <c r="H70" s="34"/>
      <c r="I70" s="34"/>
      <c r="J70" s="34">
        <f t="shared" si="0"/>
        <v>0</v>
      </c>
      <c r="K70" s="34"/>
      <c r="L70" s="34"/>
      <c r="M70" s="34">
        <f t="shared" si="2"/>
        <v>0</v>
      </c>
      <c r="N70" s="34">
        <f t="shared" si="3"/>
        <v>0</v>
      </c>
      <c r="O70" s="34">
        <f t="shared" si="4"/>
        <v>0</v>
      </c>
      <c r="P70" s="34">
        <f t="shared" si="5"/>
        <v>0</v>
      </c>
    </row>
    <row r="71" spans="1:17" hidden="1" x14ac:dyDescent="0.25">
      <c r="A71" s="8" t="s">
        <v>39</v>
      </c>
      <c r="B71" s="4" t="str">
        <f>LEFT(A71,4)</f>
        <v>1450</v>
      </c>
      <c r="E71" s="34"/>
      <c r="F71" s="34"/>
      <c r="G71" s="34">
        <f t="shared" si="1"/>
        <v>0</v>
      </c>
      <c r="H71" s="34"/>
      <c r="I71" s="34"/>
      <c r="J71" s="34">
        <f t="shared" si="0"/>
        <v>0</v>
      </c>
      <c r="K71" s="34">
        <f>VLOOKUP($B71,Arena_Sage!$A$5:$D$189,3,0)</f>
        <v>0</v>
      </c>
      <c r="L71" s="34">
        <f>VLOOKUP($B71,Arena_Sage!$A$5:$D$189,4,0)</f>
        <v>487170.37</v>
      </c>
      <c r="M71" s="34">
        <f t="shared" si="2"/>
        <v>-487170.37</v>
      </c>
      <c r="N71" s="34">
        <f t="shared" si="3"/>
        <v>0</v>
      </c>
      <c r="O71" s="34">
        <f t="shared" si="4"/>
        <v>487170.37</v>
      </c>
      <c r="P71" s="34">
        <f t="shared" si="5"/>
        <v>-487170.37</v>
      </c>
    </row>
    <row r="72" spans="1:17" hidden="1" x14ac:dyDescent="0.25">
      <c r="A72" s="8" t="s">
        <v>40</v>
      </c>
      <c r="B72" s="4" t="str">
        <f>LEFT(A72,4)</f>
        <v>1460</v>
      </c>
      <c r="E72" s="34"/>
      <c r="F72" s="34"/>
      <c r="G72" s="34">
        <f t="shared" si="1"/>
        <v>0</v>
      </c>
      <c r="H72" s="34"/>
      <c r="I72" s="34"/>
      <c r="J72" s="34">
        <f t="shared" si="0"/>
        <v>0</v>
      </c>
      <c r="K72" s="34">
        <f>VLOOKUP($B72,Arena_Sage!$A$5:$D$189,3,0)</f>
        <v>8263.5</v>
      </c>
      <c r="L72" s="34">
        <f>VLOOKUP($B72,Arena_Sage!$A$5:$D$189,4,0)</f>
        <v>0</v>
      </c>
      <c r="M72" s="34">
        <f t="shared" si="2"/>
        <v>8263.5</v>
      </c>
      <c r="N72" s="34">
        <f t="shared" si="3"/>
        <v>8263.5</v>
      </c>
      <c r="O72" s="34">
        <f t="shared" si="4"/>
        <v>0</v>
      </c>
      <c r="P72" s="34">
        <f t="shared" si="5"/>
        <v>8263.5</v>
      </c>
    </row>
    <row r="73" spans="1:17" hidden="1" x14ac:dyDescent="0.25">
      <c r="A73" s="8" t="s">
        <v>12</v>
      </c>
      <c r="C73" s="103">
        <f t="shared" ref="C73" si="36">SUM(C71:C72)</f>
        <v>0</v>
      </c>
      <c r="D73" s="99">
        <f>SUM(D71:D72)</f>
        <v>0</v>
      </c>
      <c r="E73" s="35">
        <f>SUM(E71:E72)</f>
        <v>0</v>
      </c>
      <c r="F73" s="35">
        <f t="shared" ref="F73:P73" si="37">SUM(F71:F72)</f>
        <v>0</v>
      </c>
      <c r="G73" s="35">
        <f t="shared" si="37"/>
        <v>0</v>
      </c>
      <c r="H73" s="35">
        <f t="shared" si="37"/>
        <v>0</v>
      </c>
      <c r="I73" s="35">
        <f t="shared" si="37"/>
        <v>0</v>
      </c>
      <c r="J73" s="35">
        <f t="shared" si="37"/>
        <v>0</v>
      </c>
      <c r="K73" s="35">
        <f t="shared" si="37"/>
        <v>8263.5</v>
      </c>
      <c r="L73" s="35">
        <f t="shared" si="37"/>
        <v>487170.37</v>
      </c>
      <c r="M73" s="35">
        <f t="shared" si="37"/>
        <v>-478906.87</v>
      </c>
      <c r="N73" s="35">
        <f t="shared" si="37"/>
        <v>8263.5</v>
      </c>
      <c r="O73" s="35">
        <f t="shared" si="37"/>
        <v>487170.37</v>
      </c>
      <c r="P73" s="35">
        <f t="shared" si="37"/>
        <v>-478906.87</v>
      </c>
    </row>
    <row r="74" spans="1:17" hidden="1" x14ac:dyDescent="0.25">
      <c r="C74" s="104"/>
      <c r="D74" s="100"/>
      <c r="E74" s="34"/>
      <c r="F74" s="34"/>
      <c r="G74" s="34">
        <f t="shared" ref="G74:G137" si="38">IF(E74&gt;0,E74,-F74)</f>
        <v>0</v>
      </c>
      <c r="H74" s="34"/>
      <c r="I74" s="34"/>
      <c r="J74" s="34">
        <f t="shared" ref="J74:J136" si="39">IF(H74&gt;0,H74,-I74)</f>
        <v>0</v>
      </c>
      <c r="K74" s="34"/>
      <c r="L74" s="34"/>
      <c r="M74" s="34">
        <f t="shared" ref="M74:M136" si="40">IF(K74&gt;0,K74,-L74)</f>
        <v>0</v>
      </c>
      <c r="N74" s="34">
        <f t="shared" ref="N74:N137" si="41">E74+H74+K74</f>
        <v>0</v>
      </c>
      <c r="O74" s="34">
        <f t="shared" ref="O74:O137" si="42">F74+I74+L74</f>
        <v>0</v>
      </c>
      <c r="P74" s="34">
        <f t="shared" ref="P74:P137" si="43">IF(N74&gt;0,N74,-O74)</f>
        <v>0</v>
      </c>
    </row>
    <row r="75" spans="1:17" hidden="1" x14ac:dyDescent="0.25">
      <c r="A75" s="9" t="s">
        <v>41</v>
      </c>
      <c r="B75" s="12" t="str">
        <f>LEFT(A75,5)</f>
        <v xml:space="preserve">M. 1 </v>
      </c>
      <c r="C75" s="103">
        <f t="shared" ref="C75:D75" si="44">C73+C69+C62</f>
        <v>0</v>
      </c>
      <c r="D75" s="99">
        <f t="shared" si="44"/>
        <v>0</v>
      </c>
      <c r="E75" s="35">
        <f>E73+E69+E62</f>
        <v>863482.58000000007</v>
      </c>
      <c r="F75" s="35">
        <f t="shared" ref="F75:P75" si="45">F73+F69+F62</f>
        <v>0</v>
      </c>
      <c r="G75" s="35">
        <f t="shared" si="45"/>
        <v>863482.58000000007</v>
      </c>
      <c r="H75" s="35">
        <f t="shared" si="45"/>
        <v>1107351.29</v>
      </c>
      <c r="I75" s="35">
        <f t="shared" si="45"/>
        <v>1491926.8</v>
      </c>
      <c r="J75" s="35">
        <f t="shared" si="45"/>
        <v>-384575.51</v>
      </c>
      <c r="K75" s="35">
        <f t="shared" si="45"/>
        <v>8263.5</v>
      </c>
      <c r="L75" s="35">
        <f t="shared" si="45"/>
        <v>487170.37</v>
      </c>
      <c r="M75" s="35">
        <f t="shared" si="45"/>
        <v>-478906.87</v>
      </c>
      <c r="N75" s="35">
        <f t="shared" si="45"/>
        <v>1979097.37</v>
      </c>
      <c r="O75" s="35">
        <f t="shared" si="45"/>
        <v>1979097.17</v>
      </c>
      <c r="P75" s="35">
        <f t="shared" si="45"/>
        <v>0.20000000006984919</v>
      </c>
    </row>
    <row r="76" spans="1:17" hidden="1" x14ac:dyDescent="0.25">
      <c r="E76" s="34"/>
      <c r="F76" s="34"/>
      <c r="G76" s="34">
        <f t="shared" si="38"/>
        <v>0</v>
      </c>
      <c r="H76" s="34"/>
      <c r="I76" s="34"/>
      <c r="J76" s="34">
        <f t="shared" si="39"/>
        <v>0</v>
      </c>
      <c r="K76" s="34"/>
      <c r="L76" s="34"/>
      <c r="M76" s="34">
        <f t="shared" si="40"/>
        <v>0</v>
      </c>
      <c r="N76" s="34">
        <f t="shared" si="41"/>
        <v>0</v>
      </c>
      <c r="O76" s="34">
        <f t="shared" si="42"/>
        <v>0</v>
      </c>
      <c r="P76" s="34">
        <f t="shared" si="43"/>
        <v>0</v>
      </c>
    </row>
    <row r="77" spans="1:17" hidden="1" x14ac:dyDescent="0.25">
      <c r="A77" s="8" t="s">
        <v>42</v>
      </c>
      <c r="B77" s="4" t="str">
        <f t="shared" ref="B77:B102" si="46">LEFT(A77,4)</f>
        <v>1600</v>
      </c>
      <c r="E77" s="34">
        <f>VLOOKUP($B77,Town_Sage!$A$5:$D$399,3,0)</f>
        <v>348094.12</v>
      </c>
      <c r="F77" s="34">
        <f>VLOOKUP($B77,Town_Sage!$A$5:$D$399,4,0)</f>
        <v>0</v>
      </c>
      <c r="G77" s="34">
        <f t="shared" si="38"/>
        <v>348094.12</v>
      </c>
      <c r="H77" s="34"/>
      <c r="I77" s="34"/>
      <c r="J77" s="34">
        <f t="shared" si="39"/>
        <v>0</v>
      </c>
      <c r="K77" s="34"/>
      <c r="L77" s="34"/>
      <c r="M77" s="34">
        <f t="shared" si="40"/>
        <v>0</v>
      </c>
      <c r="N77" s="34">
        <f t="shared" si="41"/>
        <v>348094.12</v>
      </c>
      <c r="O77" s="34">
        <f t="shared" si="42"/>
        <v>0</v>
      </c>
      <c r="P77" s="34">
        <f t="shared" si="43"/>
        <v>348094.12</v>
      </c>
    </row>
    <row r="78" spans="1:17" hidden="1" x14ac:dyDescent="0.25">
      <c r="A78" s="8" t="s">
        <v>43</v>
      </c>
      <c r="B78" s="4" t="str">
        <f t="shared" si="46"/>
        <v>1604</v>
      </c>
      <c r="E78" s="34">
        <f>VLOOKUP($B78,Town_Sage!$A$5:$D$399,3,0)</f>
        <v>78709.34</v>
      </c>
      <c r="F78" s="34">
        <f>VLOOKUP($B78,Town_Sage!$A$5:$D$399,4,0)</f>
        <v>0</v>
      </c>
      <c r="G78" s="34">
        <f t="shared" si="38"/>
        <v>78709.34</v>
      </c>
      <c r="H78" s="34"/>
      <c r="I78" s="34"/>
      <c r="J78" s="34">
        <f t="shared" si="39"/>
        <v>0</v>
      </c>
      <c r="K78" s="34"/>
      <c r="L78" s="34"/>
      <c r="M78" s="34">
        <f t="shared" si="40"/>
        <v>0</v>
      </c>
      <c r="N78" s="34">
        <f t="shared" si="41"/>
        <v>78709.34</v>
      </c>
      <c r="O78" s="34">
        <f t="shared" si="42"/>
        <v>0</v>
      </c>
      <c r="P78" s="34">
        <f t="shared" si="43"/>
        <v>78709.34</v>
      </c>
    </row>
    <row r="79" spans="1:17" hidden="1" x14ac:dyDescent="0.25">
      <c r="A79" s="8" t="s">
        <v>44</v>
      </c>
      <c r="B79" s="4" t="str">
        <f t="shared" si="46"/>
        <v>1605</v>
      </c>
      <c r="E79" s="34">
        <f>VLOOKUP($B79,Town_Sage!$A$5:$D$399,3,0)</f>
        <v>495713.38</v>
      </c>
      <c r="F79" s="34">
        <f>VLOOKUP($B79,Town_Sage!$A$5:$D$399,4,0)</f>
        <v>0</v>
      </c>
      <c r="G79" s="34">
        <f t="shared" si="38"/>
        <v>495713.38</v>
      </c>
      <c r="H79" s="34"/>
      <c r="I79" s="34"/>
      <c r="J79" s="34">
        <f t="shared" si="39"/>
        <v>0</v>
      </c>
      <c r="K79" s="34"/>
      <c r="L79" s="34"/>
      <c r="M79" s="34">
        <f t="shared" si="40"/>
        <v>0</v>
      </c>
      <c r="N79" s="34">
        <f t="shared" si="41"/>
        <v>495713.38</v>
      </c>
      <c r="O79" s="34">
        <f t="shared" si="42"/>
        <v>0</v>
      </c>
      <c r="P79" s="34">
        <f t="shared" si="43"/>
        <v>495713.38</v>
      </c>
    </row>
    <row r="80" spans="1:17" hidden="1" x14ac:dyDescent="0.25">
      <c r="A80" s="8" t="s">
        <v>45</v>
      </c>
      <c r="B80" s="4" t="str">
        <f t="shared" si="46"/>
        <v>1606</v>
      </c>
      <c r="E80" s="34">
        <f>VLOOKUP($B80,Town_Sage!$A$5:$D$399,3,0)</f>
        <v>0</v>
      </c>
      <c r="F80" s="34">
        <f>VLOOKUP($B80,Town_Sage!$A$5:$D$399,4,0)</f>
        <v>743437.99</v>
      </c>
      <c r="G80" s="34">
        <f t="shared" si="38"/>
        <v>-743437.99</v>
      </c>
      <c r="H80" s="34"/>
      <c r="I80" s="34"/>
      <c r="J80" s="34">
        <f t="shared" si="39"/>
        <v>0</v>
      </c>
      <c r="K80" s="34"/>
      <c r="L80" s="34"/>
      <c r="M80" s="34">
        <f t="shared" si="40"/>
        <v>0</v>
      </c>
      <c r="N80" s="34">
        <f t="shared" si="41"/>
        <v>0</v>
      </c>
      <c r="O80" s="34">
        <f t="shared" si="42"/>
        <v>743437.99</v>
      </c>
      <c r="P80" s="34">
        <f t="shared" si="43"/>
        <v>-743437.99</v>
      </c>
    </row>
    <row r="81" spans="1:16" hidden="1" x14ac:dyDescent="0.25">
      <c r="A81" s="8" t="s">
        <v>46</v>
      </c>
      <c r="B81" s="4" t="str">
        <f t="shared" si="46"/>
        <v>1607</v>
      </c>
      <c r="E81" s="34">
        <f>VLOOKUP($B81,Town_Sage!$A$5:$D$399,3,0)</f>
        <v>125226.92</v>
      </c>
      <c r="F81" s="34">
        <f>VLOOKUP($B81,Town_Sage!$A$5:$D$399,4,0)</f>
        <v>0</v>
      </c>
      <c r="G81" s="34">
        <f t="shared" si="38"/>
        <v>125226.92</v>
      </c>
      <c r="H81" s="34"/>
      <c r="I81" s="34"/>
      <c r="J81" s="34">
        <f t="shared" si="39"/>
        <v>0</v>
      </c>
      <c r="K81" s="34"/>
      <c r="L81" s="34"/>
      <c r="M81" s="34">
        <f t="shared" si="40"/>
        <v>0</v>
      </c>
      <c r="N81" s="34">
        <f t="shared" si="41"/>
        <v>125226.92</v>
      </c>
      <c r="O81" s="34">
        <f t="shared" si="42"/>
        <v>0</v>
      </c>
      <c r="P81" s="34">
        <f t="shared" si="43"/>
        <v>125226.92</v>
      </c>
    </row>
    <row r="82" spans="1:16" hidden="1" x14ac:dyDescent="0.25">
      <c r="A82" s="8" t="s">
        <v>47</v>
      </c>
      <c r="B82" s="4" t="str">
        <f t="shared" si="46"/>
        <v>1608</v>
      </c>
      <c r="E82" s="34">
        <f>VLOOKUP($B82,Town_Sage!$A$5:$D$399,3,0)</f>
        <v>283046.59000000003</v>
      </c>
      <c r="F82" s="34">
        <f>VLOOKUP($B82,Town_Sage!$A$5:$D$399,4,0)</f>
        <v>0</v>
      </c>
      <c r="G82" s="34">
        <f t="shared" si="38"/>
        <v>283046.59000000003</v>
      </c>
      <c r="H82" s="34"/>
      <c r="I82" s="34"/>
      <c r="J82" s="34">
        <f t="shared" si="39"/>
        <v>0</v>
      </c>
      <c r="K82" s="34"/>
      <c r="L82" s="34"/>
      <c r="M82" s="34">
        <f t="shared" si="40"/>
        <v>0</v>
      </c>
      <c r="N82" s="34">
        <f t="shared" si="41"/>
        <v>283046.59000000003</v>
      </c>
      <c r="O82" s="34">
        <f t="shared" si="42"/>
        <v>0</v>
      </c>
      <c r="P82" s="34">
        <f t="shared" si="43"/>
        <v>283046.59000000003</v>
      </c>
    </row>
    <row r="83" spans="1:16" hidden="1" x14ac:dyDescent="0.25">
      <c r="A83" s="8" t="s">
        <v>48</v>
      </c>
      <c r="B83" s="4" t="str">
        <f t="shared" si="46"/>
        <v>1625</v>
      </c>
      <c r="E83" s="34">
        <f>VLOOKUP($B83,Town_Sage!$A$5:$D$399,3,0)</f>
        <v>297936.24</v>
      </c>
      <c r="F83" s="34">
        <f>VLOOKUP($B83,Town_Sage!$A$5:$D$399,4,0)</f>
        <v>0</v>
      </c>
      <c r="G83" s="34">
        <f t="shared" si="38"/>
        <v>297936.24</v>
      </c>
      <c r="H83" s="34"/>
      <c r="I83" s="34"/>
      <c r="J83" s="34">
        <f t="shared" si="39"/>
        <v>0</v>
      </c>
      <c r="K83" s="34"/>
      <c r="L83" s="34"/>
      <c r="M83" s="34">
        <f t="shared" si="40"/>
        <v>0</v>
      </c>
      <c r="N83" s="34">
        <f t="shared" si="41"/>
        <v>297936.24</v>
      </c>
      <c r="O83" s="34">
        <f t="shared" si="42"/>
        <v>0</v>
      </c>
      <c r="P83" s="34">
        <f t="shared" si="43"/>
        <v>297936.24</v>
      </c>
    </row>
    <row r="84" spans="1:16" hidden="1" x14ac:dyDescent="0.25">
      <c r="A84" s="8" t="s">
        <v>49</v>
      </c>
      <c r="B84" s="4" t="str">
        <f t="shared" si="46"/>
        <v>1626</v>
      </c>
      <c r="E84" s="34">
        <f>VLOOKUP($B84,Town_Sage!$A$5:$D$399,3,0)</f>
        <v>0</v>
      </c>
      <c r="F84" s="34">
        <f>VLOOKUP($B84,Town_Sage!$A$5:$D$399,4,0)</f>
        <v>197879.57</v>
      </c>
      <c r="G84" s="34">
        <f t="shared" si="38"/>
        <v>-197879.57</v>
      </c>
      <c r="H84" s="34"/>
      <c r="I84" s="34"/>
      <c r="J84" s="34">
        <f t="shared" si="39"/>
        <v>0</v>
      </c>
      <c r="K84" s="34"/>
      <c r="L84" s="34"/>
      <c r="M84" s="34">
        <f t="shared" si="40"/>
        <v>0</v>
      </c>
      <c r="N84" s="34">
        <f t="shared" si="41"/>
        <v>0</v>
      </c>
      <c r="O84" s="34">
        <f t="shared" si="42"/>
        <v>197879.57</v>
      </c>
      <c r="P84" s="34">
        <f t="shared" si="43"/>
        <v>-197879.57</v>
      </c>
    </row>
    <row r="85" spans="1:16" hidden="1" x14ac:dyDescent="0.25">
      <c r="A85" s="8" t="s">
        <v>50</v>
      </c>
      <c r="B85" s="4" t="str">
        <f t="shared" si="46"/>
        <v>1627</v>
      </c>
      <c r="E85" s="34">
        <f>VLOOKUP($B85,Town_Sage!$A$5:$D$399,3,0)</f>
        <v>546688.05000000005</v>
      </c>
      <c r="F85" s="34">
        <f>VLOOKUP($B85,Town_Sage!$A$5:$D$399,4,0)</f>
        <v>0</v>
      </c>
      <c r="G85" s="34">
        <f t="shared" si="38"/>
        <v>546688.05000000005</v>
      </c>
      <c r="H85" s="34"/>
      <c r="I85" s="34"/>
      <c r="J85" s="34">
        <f t="shared" si="39"/>
        <v>0</v>
      </c>
      <c r="K85" s="34"/>
      <c r="L85" s="34"/>
      <c r="M85" s="34">
        <f t="shared" si="40"/>
        <v>0</v>
      </c>
      <c r="N85" s="34">
        <f t="shared" si="41"/>
        <v>546688.05000000005</v>
      </c>
      <c r="O85" s="34">
        <f t="shared" si="42"/>
        <v>0</v>
      </c>
      <c r="P85" s="34">
        <f t="shared" si="43"/>
        <v>546688.05000000005</v>
      </c>
    </row>
    <row r="86" spans="1:16" hidden="1" x14ac:dyDescent="0.25">
      <c r="A86" s="8" t="s">
        <v>51</v>
      </c>
      <c r="B86" s="4" t="str">
        <f t="shared" si="46"/>
        <v>1628</v>
      </c>
      <c r="E86" s="34">
        <f>VLOOKUP($B86,Town_Sage!$A$5:$D$399,3,0)</f>
        <v>0</v>
      </c>
      <c r="F86" s="34">
        <f>VLOOKUP($B86,Town_Sage!$A$5:$D$399,4,0)</f>
        <v>452251.23</v>
      </c>
      <c r="G86" s="34">
        <f t="shared" si="38"/>
        <v>-452251.23</v>
      </c>
      <c r="H86" s="34"/>
      <c r="I86" s="34"/>
      <c r="J86" s="34">
        <f t="shared" si="39"/>
        <v>0</v>
      </c>
      <c r="K86" s="34"/>
      <c r="L86" s="34"/>
      <c r="M86" s="34">
        <f t="shared" si="40"/>
        <v>0</v>
      </c>
      <c r="N86" s="34">
        <f t="shared" si="41"/>
        <v>0</v>
      </c>
      <c r="O86" s="34">
        <f t="shared" si="42"/>
        <v>452251.23</v>
      </c>
      <c r="P86" s="34">
        <f t="shared" si="43"/>
        <v>-452251.23</v>
      </c>
    </row>
    <row r="87" spans="1:16" hidden="1" x14ac:dyDescent="0.25">
      <c r="A87" s="8" t="s">
        <v>52</v>
      </c>
      <c r="B87" s="4" t="str">
        <f t="shared" si="46"/>
        <v>1631</v>
      </c>
      <c r="E87" s="34">
        <f>VLOOKUP($B87,Town_Sage!$A$5:$D$399,3,0)</f>
        <v>19158.32</v>
      </c>
      <c r="F87" s="34">
        <f>VLOOKUP($B87,Town_Sage!$A$5:$D$399,4,0)</f>
        <v>0</v>
      </c>
      <c r="G87" s="34">
        <f t="shared" si="38"/>
        <v>19158.32</v>
      </c>
      <c r="H87" s="34"/>
      <c r="I87" s="34"/>
      <c r="J87" s="34">
        <f t="shared" si="39"/>
        <v>0</v>
      </c>
      <c r="K87" s="34"/>
      <c r="L87" s="34"/>
      <c r="M87" s="34">
        <f t="shared" si="40"/>
        <v>0</v>
      </c>
      <c r="N87" s="34">
        <f t="shared" si="41"/>
        <v>19158.32</v>
      </c>
      <c r="O87" s="34">
        <f t="shared" si="42"/>
        <v>0</v>
      </c>
      <c r="P87" s="34">
        <f t="shared" si="43"/>
        <v>19158.32</v>
      </c>
    </row>
    <row r="88" spans="1:16" hidden="1" x14ac:dyDescent="0.25">
      <c r="A88" s="8" t="s">
        <v>53</v>
      </c>
      <c r="B88" s="4" t="str">
        <f t="shared" si="46"/>
        <v>1632</v>
      </c>
      <c r="E88" s="34">
        <f>VLOOKUP($B88,Town_Sage!$A$5:$D$399,3,0)</f>
        <v>0</v>
      </c>
      <c r="F88" s="34">
        <f>VLOOKUP($B88,Town_Sage!$A$5:$D$399,4,0)</f>
        <v>16134.84</v>
      </c>
      <c r="G88" s="34">
        <f t="shared" si="38"/>
        <v>-16134.84</v>
      </c>
      <c r="H88" s="34"/>
      <c r="I88" s="34"/>
      <c r="J88" s="34">
        <f t="shared" si="39"/>
        <v>0</v>
      </c>
      <c r="K88" s="34"/>
      <c r="L88" s="34"/>
      <c r="M88" s="34">
        <f t="shared" si="40"/>
        <v>0</v>
      </c>
      <c r="N88" s="34">
        <f t="shared" si="41"/>
        <v>0</v>
      </c>
      <c r="O88" s="34">
        <f t="shared" si="42"/>
        <v>16134.84</v>
      </c>
      <c r="P88" s="34">
        <f t="shared" si="43"/>
        <v>-16134.84</v>
      </c>
    </row>
    <row r="89" spans="1:16" hidden="1" x14ac:dyDescent="0.25">
      <c r="A89" s="8" t="s">
        <v>54</v>
      </c>
      <c r="B89" s="4" t="str">
        <f t="shared" si="46"/>
        <v>1635</v>
      </c>
      <c r="E89" s="34">
        <f>VLOOKUP($B89,Town_Sage!$A$5:$D$399,3,0)</f>
        <v>8320.4</v>
      </c>
      <c r="F89" s="34">
        <f>VLOOKUP($B89,Town_Sage!$A$5:$D$399,4,0)</f>
        <v>0</v>
      </c>
      <c r="G89" s="34">
        <f t="shared" si="38"/>
        <v>8320.4</v>
      </c>
      <c r="H89" s="34"/>
      <c r="I89" s="34"/>
      <c r="J89" s="34">
        <f t="shared" si="39"/>
        <v>0</v>
      </c>
      <c r="K89" s="34"/>
      <c r="L89" s="34"/>
      <c r="M89" s="34">
        <f t="shared" si="40"/>
        <v>0</v>
      </c>
      <c r="N89" s="34">
        <f t="shared" si="41"/>
        <v>8320.4</v>
      </c>
      <c r="O89" s="34">
        <f t="shared" si="42"/>
        <v>0</v>
      </c>
      <c r="P89" s="34">
        <f t="shared" si="43"/>
        <v>8320.4</v>
      </c>
    </row>
    <row r="90" spans="1:16" hidden="1" x14ac:dyDescent="0.25">
      <c r="A90" s="8" t="s">
        <v>55</v>
      </c>
      <c r="B90" s="4" t="str">
        <f t="shared" si="46"/>
        <v>1641</v>
      </c>
      <c r="E90" s="34">
        <f>VLOOKUP($B90,Town_Sage!$A$5:$D$399,3,0)</f>
        <v>18270.939999999999</v>
      </c>
      <c r="F90" s="34">
        <f>VLOOKUP($B90,Town_Sage!$A$5:$D$399,4,0)</f>
        <v>0</v>
      </c>
      <c r="G90" s="34">
        <f t="shared" si="38"/>
        <v>18270.939999999999</v>
      </c>
      <c r="H90" s="34"/>
      <c r="I90" s="34"/>
      <c r="J90" s="34">
        <f t="shared" si="39"/>
        <v>0</v>
      </c>
      <c r="K90" s="34"/>
      <c r="L90" s="34"/>
      <c r="M90" s="34">
        <f t="shared" si="40"/>
        <v>0</v>
      </c>
      <c r="N90" s="34">
        <f t="shared" si="41"/>
        <v>18270.939999999999</v>
      </c>
      <c r="O90" s="34">
        <f t="shared" si="42"/>
        <v>0</v>
      </c>
      <c r="P90" s="34">
        <f t="shared" si="43"/>
        <v>18270.939999999999</v>
      </c>
    </row>
    <row r="91" spans="1:16" hidden="1" x14ac:dyDescent="0.25">
      <c r="A91" s="8" t="s">
        <v>56</v>
      </c>
      <c r="B91" s="4" t="str">
        <f t="shared" si="46"/>
        <v>1642</v>
      </c>
      <c r="E91" s="34">
        <f>VLOOKUP($B91,Town_Sage!$A$5:$D$399,3,0)</f>
        <v>0</v>
      </c>
      <c r="F91" s="34">
        <f>VLOOKUP($B91,Town_Sage!$A$5:$D$399,4,0)</f>
        <v>18270.939999999999</v>
      </c>
      <c r="G91" s="34">
        <f t="shared" si="38"/>
        <v>-18270.939999999999</v>
      </c>
      <c r="H91" s="34"/>
      <c r="I91" s="34"/>
      <c r="J91" s="34">
        <f t="shared" si="39"/>
        <v>0</v>
      </c>
      <c r="K91" s="34"/>
      <c r="L91" s="34"/>
      <c r="M91" s="34">
        <f t="shared" si="40"/>
        <v>0</v>
      </c>
      <c r="N91" s="34">
        <f t="shared" si="41"/>
        <v>0</v>
      </c>
      <c r="O91" s="34">
        <f t="shared" si="42"/>
        <v>18270.939999999999</v>
      </c>
      <c r="P91" s="34">
        <f t="shared" si="43"/>
        <v>-18270.939999999999</v>
      </c>
    </row>
    <row r="92" spans="1:16" hidden="1" x14ac:dyDescent="0.25">
      <c r="A92" s="8" t="s">
        <v>57</v>
      </c>
      <c r="B92" s="4" t="str">
        <f t="shared" si="46"/>
        <v>1656</v>
      </c>
      <c r="E92" s="34">
        <f>VLOOKUP($B92,Town_Sage!$A$5:$D$399,3,0)</f>
        <v>0</v>
      </c>
      <c r="F92" s="34">
        <f>VLOOKUP($B92,Town_Sage!$A$5:$D$399,4,0)</f>
        <v>7301.57</v>
      </c>
      <c r="G92" s="34">
        <f t="shared" si="38"/>
        <v>-7301.57</v>
      </c>
      <c r="H92" s="34"/>
      <c r="I92" s="34"/>
      <c r="J92" s="34">
        <f t="shared" si="39"/>
        <v>0</v>
      </c>
      <c r="K92" s="34"/>
      <c r="L92" s="34"/>
      <c r="M92" s="34">
        <f t="shared" si="40"/>
        <v>0</v>
      </c>
      <c r="N92" s="34">
        <f t="shared" si="41"/>
        <v>0</v>
      </c>
      <c r="O92" s="34">
        <f t="shared" si="42"/>
        <v>7301.57</v>
      </c>
      <c r="P92" s="34">
        <f t="shared" si="43"/>
        <v>-7301.57</v>
      </c>
    </row>
    <row r="93" spans="1:16" hidden="1" x14ac:dyDescent="0.25">
      <c r="A93" s="8" t="s">
        <v>58</v>
      </c>
      <c r="B93" s="4" t="str">
        <f t="shared" si="46"/>
        <v>1660</v>
      </c>
      <c r="E93" s="34">
        <f>VLOOKUP($B93,Town_Sage!$A$5:$D$399,3,0)</f>
        <v>538520.85</v>
      </c>
      <c r="F93" s="34">
        <f>VLOOKUP($B93,Town_Sage!$A$5:$D$399,4,0)</f>
        <v>0</v>
      </c>
      <c r="G93" s="34">
        <f t="shared" si="38"/>
        <v>538520.85</v>
      </c>
      <c r="H93" s="34"/>
      <c r="I93" s="34"/>
      <c r="J93" s="34">
        <f t="shared" si="39"/>
        <v>0</v>
      </c>
      <c r="K93" s="34"/>
      <c r="L93" s="34"/>
      <c r="M93" s="34">
        <f t="shared" si="40"/>
        <v>0</v>
      </c>
      <c r="N93" s="34">
        <f t="shared" si="41"/>
        <v>538520.85</v>
      </c>
      <c r="O93" s="34">
        <f t="shared" si="42"/>
        <v>0</v>
      </c>
      <c r="P93" s="34">
        <f t="shared" si="43"/>
        <v>538520.85</v>
      </c>
    </row>
    <row r="94" spans="1:16" hidden="1" x14ac:dyDescent="0.25">
      <c r="A94" s="8" t="s">
        <v>59</v>
      </c>
      <c r="B94" s="4" t="str">
        <f t="shared" si="46"/>
        <v>1661</v>
      </c>
      <c r="E94" s="34">
        <f>VLOOKUP($B94,Town_Sage!$A$5:$D$399,3,0)</f>
        <v>0</v>
      </c>
      <c r="F94" s="34">
        <f>VLOOKUP($B94,Town_Sage!$A$5:$D$399,4,0)</f>
        <v>252352.77</v>
      </c>
      <c r="G94" s="34">
        <f t="shared" si="38"/>
        <v>-252352.77</v>
      </c>
      <c r="H94" s="34"/>
      <c r="I94" s="34"/>
      <c r="J94" s="34">
        <f t="shared" si="39"/>
        <v>0</v>
      </c>
      <c r="K94" s="34"/>
      <c r="L94" s="34"/>
      <c r="M94" s="34">
        <f t="shared" si="40"/>
        <v>0</v>
      </c>
      <c r="N94" s="34">
        <f t="shared" si="41"/>
        <v>0</v>
      </c>
      <c r="O94" s="34">
        <f t="shared" si="42"/>
        <v>252352.77</v>
      </c>
      <c r="P94" s="34">
        <f t="shared" si="43"/>
        <v>-252352.77</v>
      </c>
    </row>
    <row r="95" spans="1:16" hidden="1" x14ac:dyDescent="0.25">
      <c r="A95" s="8" t="s">
        <v>60</v>
      </c>
      <c r="B95" s="4" t="str">
        <f t="shared" si="46"/>
        <v>1662</v>
      </c>
      <c r="E95" s="34">
        <f>VLOOKUP($B95,Town_Sage!$A$5:$D$399,3,0)</f>
        <v>250155.3</v>
      </c>
      <c r="F95" s="34">
        <f>VLOOKUP($B95,Town_Sage!$A$5:$D$399,4,0)</f>
        <v>0</v>
      </c>
      <c r="G95" s="34">
        <f t="shared" si="38"/>
        <v>250155.3</v>
      </c>
      <c r="H95" s="34"/>
      <c r="I95" s="34"/>
      <c r="J95" s="34">
        <f t="shared" si="39"/>
        <v>0</v>
      </c>
      <c r="K95" s="34"/>
      <c r="L95" s="34"/>
      <c r="M95" s="34">
        <f t="shared" si="40"/>
        <v>0</v>
      </c>
      <c r="N95" s="34">
        <f t="shared" si="41"/>
        <v>250155.3</v>
      </c>
      <c r="O95" s="34">
        <f t="shared" si="42"/>
        <v>0</v>
      </c>
      <c r="P95" s="34">
        <f t="shared" si="43"/>
        <v>250155.3</v>
      </c>
    </row>
    <row r="96" spans="1:16" hidden="1" x14ac:dyDescent="0.25">
      <c r="A96" s="8" t="s">
        <v>61</v>
      </c>
      <c r="B96" s="4" t="str">
        <f t="shared" si="46"/>
        <v>1663</v>
      </c>
      <c r="E96" s="34">
        <f>VLOOKUP($B96,Town_Sage!$A$5:$D$399,3,0)</f>
        <v>0</v>
      </c>
      <c r="F96" s="34">
        <f>VLOOKUP($B96,Town_Sage!$A$5:$D$399,4,0)</f>
        <v>131029.35</v>
      </c>
      <c r="G96" s="34">
        <f t="shared" si="38"/>
        <v>-131029.35</v>
      </c>
      <c r="H96" s="34"/>
      <c r="I96" s="34"/>
      <c r="J96" s="34">
        <f t="shared" si="39"/>
        <v>0</v>
      </c>
      <c r="K96" s="34"/>
      <c r="L96" s="34"/>
      <c r="M96" s="34">
        <f t="shared" si="40"/>
        <v>0</v>
      </c>
      <c r="N96" s="34">
        <f t="shared" si="41"/>
        <v>0</v>
      </c>
      <c r="O96" s="34">
        <f t="shared" si="42"/>
        <v>131029.35</v>
      </c>
      <c r="P96" s="34">
        <f t="shared" si="43"/>
        <v>-131029.35</v>
      </c>
    </row>
    <row r="97" spans="1:16" hidden="1" x14ac:dyDescent="0.25">
      <c r="A97" s="8" t="s">
        <v>62</v>
      </c>
      <c r="B97" s="4" t="str">
        <f t="shared" si="46"/>
        <v>1664</v>
      </c>
      <c r="E97" s="34">
        <f>VLOOKUP($B97,Town_Sage!$A$5:$D$399,3,0)</f>
        <v>107092.21</v>
      </c>
      <c r="F97" s="34">
        <f>VLOOKUP($B97,Town_Sage!$A$5:$D$399,4,0)</f>
        <v>0</v>
      </c>
      <c r="G97" s="34">
        <f t="shared" si="38"/>
        <v>107092.21</v>
      </c>
      <c r="H97" s="34"/>
      <c r="I97" s="34"/>
      <c r="J97" s="34">
        <f t="shared" si="39"/>
        <v>0</v>
      </c>
      <c r="K97" s="34"/>
      <c r="L97" s="34"/>
      <c r="M97" s="34">
        <f t="shared" si="40"/>
        <v>0</v>
      </c>
      <c r="N97" s="34">
        <f t="shared" si="41"/>
        <v>107092.21</v>
      </c>
      <c r="O97" s="34">
        <f t="shared" si="42"/>
        <v>0</v>
      </c>
      <c r="P97" s="34">
        <f t="shared" si="43"/>
        <v>107092.21</v>
      </c>
    </row>
    <row r="98" spans="1:16" hidden="1" x14ac:dyDescent="0.25">
      <c r="A98" s="8" t="s">
        <v>63</v>
      </c>
      <c r="B98" s="4" t="str">
        <f t="shared" si="46"/>
        <v>1666</v>
      </c>
      <c r="E98" s="34">
        <f>VLOOKUP($B98,Town_Sage!$A$5:$D$399,3,0)</f>
        <v>61865.87</v>
      </c>
      <c r="F98" s="34">
        <f>VLOOKUP($B98,Town_Sage!$A$5:$D$399,4,0)</f>
        <v>0</v>
      </c>
      <c r="G98" s="34">
        <f t="shared" si="38"/>
        <v>61865.87</v>
      </c>
      <c r="H98" s="34"/>
      <c r="I98" s="34"/>
      <c r="J98" s="34">
        <f t="shared" si="39"/>
        <v>0</v>
      </c>
      <c r="K98" s="34"/>
      <c r="L98" s="34"/>
      <c r="M98" s="34">
        <f t="shared" si="40"/>
        <v>0</v>
      </c>
      <c r="N98" s="34">
        <f t="shared" si="41"/>
        <v>61865.87</v>
      </c>
      <c r="O98" s="34">
        <f t="shared" si="42"/>
        <v>0</v>
      </c>
      <c r="P98" s="34">
        <f t="shared" si="43"/>
        <v>61865.87</v>
      </c>
    </row>
    <row r="99" spans="1:16" hidden="1" x14ac:dyDescent="0.25">
      <c r="A99" s="8" t="s">
        <v>64</v>
      </c>
      <c r="B99" s="4" t="str">
        <f t="shared" si="46"/>
        <v>1667</v>
      </c>
      <c r="E99" s="34">
        <f>VLOOKUP($B99,Town_Sage!$A$5:$D$399,3,0)</f>
        <v>0</v>
      </c>
      <c r="F99" s="34">
        <f>VLOOKUP($B99,Town_Sage!$A$5:$D$399,4,0)</f>
        <v>38851.120000000003</v>
      </c>
      <c r="G99" s="34">
        <f t="shared" si="38"/>
        <v>-38851.120000000003</v>
      </c>
      <c r="H99" s="34"/>
      <c r="I99" s="34"/>
      <c r="J99" s="34">
        <f t="shared" si="39"/>
        <v>0</v>
      </c>
      <c r="K99" s="34"/>
      <c r="L99" s="34"/>
      <c r="M99" s="34">
        <f t="shared" si="40"/>
        <v>0</v>
      </c>
      <c r="N99" s="34">
        <f t="shared" si="41"/>
        <v>0</v>
      </c>
      <c r="O99" s="34">
        <f t="shared" si="42"/>
        <v>38851.120000000003</v>
      </c>
      <c r="P99" s="34">
        <f t="shared" si="43"/>
        <v>-38851.120000000003</v>
      </c>
    </row>
    <row r="100" spans="1:16" hidden="1" x14ac:dyDescent="0.25">
      <c r="A100" s="8" t="s">
        <v>65</v>
      </c>
      <c r="B100" s="4" t="str">
        <f t="shared" si="46"/>
        <v>1668</v>
      </c>
      <c r="E100" s="34">
        <f>VLOOKUP($B100,Town_Sage!$A$5:$D$399,3,0)</f>
        <v>49341.14</v>
      </c>
      <c r="F100" s="34">
        <f>VLOOKUP($B100,Town_Sage!$A$5:$D$399,4,0)</f>
        <v>0</v>
      </c>
      <c r="G100" s="34">
        <f t="shared" si="38"/>
        <v>49341.14</v>
      </c>
      <c r="H100" s="34"/>
      <c r="I100" s="34"/>
      <c r="J100" s="34">
        <f t="shared" si="39"/>
        <v>0</v>
      </c>
      <c r="K100" s="34"/>
      <c r="L100" s="34"/>
      <c r="M100" s="34">
        <f t="shared" si="40"/>
        <v>0</v>
      </c>
      <c r="N100" s="34">
        <f t="shared" si="41"/>
        <v>49341.14</v>
      </c>
      <c r="O100" s="34">
        <f t="shared" si="42"/>
        <v>0</v>
      </c>
      <c r="P100" s="34">
        <f t="shared" si="43"/>
        <v>49341.14</v>
      </c>
    </row>
    <row r="101" spans="1:16" hidden="1" x14ac:dyDescent="0.25">
      <c r="A101" s="8" t="s">
        <v>66</v>
      </c>
      <c r="B101" s="4" t="str">
        <f t="shared" si="46"/>
        <v>1685</v>
      </c>
      <c r="E101" s="34">
        <f>VLOOKUP($B101,Town_Sage!$A$5:$D$399,3,0)</f>
        <v>150273.92000000001</v>
      </c>
      <c r="F101" s="34">
        <f>VLOOKUP($B101,Town_Sage!$A$5:$D$399,4,0)</f>
        <v>0</v>
      </c>
      <c r="G101" s="34">
        <f t="shared" si="38"/>
        <v>150273.92000000001</v>
      </c>
      <c r="H101" s="34"/>
      <c r="I101" s="34"/>
      <c r="J101" s="34">
        <f t="shared" si="39"/>
        <v>0</v>
      </c>
      <c r="K101" s="34"/>
      <c r="L101" s="34"/>
      <c r="M101" s="34">
        <f t="shared" si="40"/>
        <v>0</v>
      </c>
      <c r="N101" s="34">
        <f t="shared" si="41"/>
        <v>150273.92000000001</v>
      </c>
      <c r="O101" s="34">
        <f t="shared" si="42"/>
        <v>0</v>
      </c>
      <c r="P101" s="34">
        <f t="shared" si="43"/>
        <v>150273.92000000001</v>
      </c>
    </row>
    <row r="102" spans="1:16" hidden="1" x14ac:dyDescent="0.25">
      <c r="A102" s="8" t="s">
        <v>67</v>
      </c>
      <c r="B102" s="4" t="str">
        <f t="shared" si="46"/>
        <v>1686</v>
      </c>
      <c r="E102" s="34">
        <f>VLOOKUP($B102,Town_Sage!$A$5:$D$399,3,0)</f>
        <v>0</v>
      </c>
      <c r="F102" s="34">
        <f>VLOOKUP($B102,Town_Sage!$A$5:$D$399,4,0)</f>
        <v>22541.1</v>
      </c>
      <c r="G102" s="34">
        <f t="shared" si="38"/>
        <v>-22541.1</v>
      </c>
      <c r="H102" s="34"/>
      <c r="I102" s="34"/>
      <c r="J102" s="34">
        <f t="shared" si="39"/>
        <v>0</v>
      </c>
      <c r="K102" s="34"/>
      <c r="L102" s="34"/>
      <c r="M102" s="34">
        <f t="shared" si="40"/>
        <v>0</v>
      </c>
      <c r="N102" s="34">
        <f t="shared" si="41"/>
        <v>0</v>
      </c>
      <c r="O102" s="34">
        <f t="shared" si="42"/>
        <v>22541.1</v>
      </c>
      <c r="P102" s="34">
        <f t="shared" si="43"/>
        <v>-22541.1</v>
      </c>
    </row>
    <row r="103" spans="1:16" hidden="1" x14ac:dyDescent="0.25">
      <c r="A103" s="8" t="s">
        <v>5</v>
      </c>
      <c r="C103" s="103">
        <f t="shared" ref="C103:D103" si="47">SUM(C77:C102)</f>
        <v>0</v>
      </c>
      <c r="D103" s="99">
        <f t="shared" si="47"/>
        <v>0</v>
      </c>
      <c r="E103" s="35">
        <f>SUM(E77:E102)</f>
        <v>3378413.59</v>
      </c>
      <c r="F103" s="35">
        <f t="shared" ref="F103:P103" si="48">SUM(F77:F102)</f>
        <v>1880050.4800000004</v>
      </c>
      <c r="G103" s="35">
        <f t="shared" si="48"/>
        <v>1498363.1099999999</v>
      </c>
      <c r="H103" s="35">
        <f t="shared" si="48"/>
        <v>0</v>
      </c>
      <c r="I103" s="35">
        <f t="shared" si="48"/>
        <v>0</v>
      </c>
      <c r="J103" s="35">
        <f t="shared" si="48"/>
        <v>0</v>
      </c>
      <c r="K103" s="35">
        <f t="shared" si="48"/>
        <v>0</v>
      </c>
      <c r="L103" s="35">
        <f t="shared" si="48"/>
        <v>0</v>
      </c>
      <c r="M103" s="35">
        <f t="shared" si="48"/>
        <v>0</v>
      </c>
      <c r="N103" s="35">
        <f t="shared" si="48"/>
        <v>3378413.59</v>
      </c>
      <c r="O103" s="35">
        <f t="shared" si="48"/>
        <v>1880050.4800000004</v>
      </c>
      <c r="P103" s="35">
        <f t="shared" si="48"/>
        <v>1498363.1099999999</v>
      </c>
    </row>
    <row r="104" spans="1:16" hidden="1" x14ac:dyDescent="0.25">
      <c r="E104" s="34"/>
      <c r="F104" s="34"/>
      <c r="G104" s="34">
        <f t="shared" si="38"/>
        <v>0</v>
      </c>
      <c r="H104" s="34"/>
      <c r="I104" s="34"/>
      <c r="J104" s="34">
        <f t="shared" si="39"/>
        <v>0</v>
      </c>
      <c r="K104" s="34"/>
      <c r="L104" s="34"/>
      <c r="M104" s="34">
        <f t="shared" si="40"/>
        <v>0</v>
      </c>
      <c r="N104" s="34">
        <f t="shared" si="41"/>
        <v>0</v>
      </c>
      <c r="O104" s="34">
        <f t="shared" si="42"/>
        <v>0</v>
      </c>
      <c r="P104" s="34">
        <f t="shared" si="43"/>
        <v>0</v>
      </c>
    </row>
    <row r="105" spans="1:16" hidden="1" x14ac:dyDescent="0.25">
      <c r="A105" s="8" t="s">
        <v>68</v>
      </c>
      <c r="B105" s="4" t="str">
        <f t="shared" ref="B105:B137" si="49">LEFT(A105,4)</f>
        <v>1700</v>
      </c>
      <c r="E105" s="34"/>
      <c r="F105" s="34"/>
      <c r="G105" s="34">
        <f t="shared" si="38"/>
        <v>0</v>
      </c>
      <c r="H105" s="34">
        <f>VLOOKUP($B105,Utility!$A$5:$D$248,3,0)</f>
        <v>1454.49</v>
      </c>
      <c r="I105" s="34">
        <f>VLOOKUP($B105,Utility!$A$5:$D$248,4,0)</f>
        <v>0</v>
      </c>
      <c r="J105" s="34">
        <f t="shared" si="39"/>
        <v>1454.49</v>
      </c>
      <c r="K105" s="34"/>
      <c r="L105" s="34"/>
      <c r="M105" s="34">
        <f t="shared" si="40"/>
        <v>0</v>
      </c>
      <c r="N105" s="34">
        <f t="shared" si="41"/>
        <v>1454.49</v>
      </c>
      <c r="O105" s="34">
        <f t="shared" si="42"/>
        <v>0</v>
      </c>
      <c r="P105" s="34">
        <f t="shared" si="43"/>
        <v>1454.49</v>
      </c>
    </row>
    <row r="106" spans="1:16" hidden="1" x14ac:dyDescent="0.25">
      <c r="A106" s="8" t="s">
        <v>69</v>
      </c>
      <c r="B106" s="4" t="str">
        <f t="shared" si="49"/>
        <v>1705</v>
      </c>
      <c r="E106" s="34"/>
      <c r="F106" s="34"/>
      <c r="G106" s="34">
        <f t="shared" si="38"/>
        <v>0</v>
      </c>
      <c r="H106" s="34">
        <f>VLOOKUP($B106,Utility!$A$5:$D$248,3,0)</f>
        <v>5332911.32</v>
      </c>
      <c r="I106" s="34">
        <f>VLOOKUP($B106,Utility!$A$5:$D$248,4,0)</f>
        <v>0</v>
      </c>
      <c r="J106" s="34">
        <f t="shared" si="39"/>
        <v>5332911.32</v>
      </c>
      <c r="K106" s="34"/>
      <c r="L106" s="34"/>
      <c r="M106" s="34">
        <f t="shared" si="40"/>
        <v>0</v>
      </c>
      <c r="N106" s="34">
        <f t="shared" si="41"/>
        <v>5332911.32</v>
      </c>
      <c r="O106" s="34">
        <f t="shared" si="42"/>
        <v>0</v>
      </c>
      <c r="P106" s="34">
        <f t="shared" si="43"/>
        <v>5332911.32</v>
      </c>
    </row>
    <row r="107" spans="1:16" hidden="1" x14ac:dyDescent="0.25">
      <c r="A107" s="8" t="s">
        <v>70</v>
      </c>
      <c r="B107" s="4" t="str">
        <f t="shared" si="49"/>
        <v>1710</v>
      </c>
      <c r="E107" s="34"/>
      <c r="F107" s="34"/>
      <c r="G107" s="34">
        <f t="shared" si="38"/>
        <v>0</v>
      </c>
      <c r="H107" s="34">
        <f>VLOOKUP($B107,Utility!$A$5:$D$248,3,0)</f>
        <v>0</v>
      </c>
      <c r="I107" s="34">
        <f>VLOOKUP($B107,Utility!$A$5:$D$248,4,0)</f>
        <v>1025208.68</v>
      </c>
      <c r="J107" s="34">
        <f t="shared" si="39"/>
        <v>-1025208.68</v>
      </c>
      <c r="K107" s="34"/>
      <c r="L107" s="34"/>
      <c r="M107" s="34">
        <f t="shared" si="40"/>
        <v>0</v>
      </c>
      <c r="N107" s="34">
        <f t="shared" si="41"/>
        <v>0</v>
      </c>
      <c r="O107" s="34">
        <f t="shared" si="42"/>
        <v>1025208.68</v>
      </c>
      <c r="P107" s="34">
        <f t="shared" si="43"/>
        <v>-1025208.68</v>
      </c>
    </row>
    <row r="108" spans="1:16" hidden="1" x14ac:dyDescent="0.25">
      <c r="A108" s="8" t="s">
        <v>71</v>
      </c>
      <c r="B108" s="4" t="str">
        <f t="shared" si="49"/>
        <v>1715</v>
      </c>
      <c r="E108" s="34"/>
      <c r="F108" s="34"/>
      <c r="G108" s="34">
        <f t="shared" si="38"/>
        <v>0</v>
      </c>
      <c r="H108" s="34">
        <f>VLOOKUP($B108,Utility!$A$5:$D$248,3,0)</f>
        <v>12200</v>
      </c>
      <c r="I108" s="34">
        <f>VLOOKUP($B108,Utility!$A$5:$D$248,4,0)</f>
        <v>0</v>
      </c>
      <c r="J108" s="34">
        <f t="shared" si="39"/>
        <v>12200</v>
      </c>
      <c r="K108" s="34"/>
      <c r="L108" s="34"/>
      <c r="M108" s="34">
        <f t="shared" si="40"/>
        <v>0</v>
      </c>
      <c r="N108" s="34">
        <f t="shared" si="41"/>
        <v>12200</v>
      </c>
      <c r="O108" s="34">
        <f t="shared" si="42"/>
        <v>0</v>
      </c>
      <c r="P108" s="34">
        <f t="shared" si="43"/>
        <v>12200</v>
      </c>
    </row>
    <row r="109" spans="1:16" hidden="1" x14ac:dyDescent="0.25">
      <c r="A109" s="8" t="s">
        <v>72</v>
      </c>
      <c r="B109" s="4" t="str">
        <f t="shared" si="49"/>
        <v>1720</v>
      </c>
      <c r="E109" s="34"/>
      <c r="F109" s="34"/>
      <c r="G109" s="34">
        <f t="shared" si="38"/>
        <v>0</v>
      </c>
      <c r="H109" s="34">
        <f>VLOOKUP($B109,Utility!$A$5:$D$248,3,0)</f>
        <v>0</v>
      </c>
      <c r="I109" s="34">
        <f>VLOOKUP($B109,Utility!$A$5:$D$248,4,0)</f>
        <v>9203.2000000000007</v>
      </c>
      <c r="J109" s="34">
        <f t="shared" si="39"/>
        <v>-9203.2000000000007</v>
      </c>
      <c r="K109" s="34"/>
      <c r="L109" s="34"/>
      <c r="M109" s="34">
        <f t="shared" si="40"/>
        <v>0</v>
      </c>
      <c r="N109" s="34">
        <f t="shared" si="41"/>
        <v>0</v>
      </c>
      <c r="O109" s="34">
        <f t="shared" si="42"/>
        <v>9203.2000000000007</v>
      </c>
      <c r="P109" s="34">
        <f t="shared" si="43"/>
        <v>-9203.2000000000007</v>
      </c>
    </row>
    <row r="110" spans="1:16" hidden="1" x14ac:dyDescent="0.25">
      <c r="A110" s="8" t="s">
        <v>73</v>
      </c>
      <c r="B110" s="4" t="str">
        <f t="shared" si="49"/>
        <v>1725</v>
      </c>
      <c r="E110" s="34"/>
      <c r="F110" s="34"/>
      <c r="G110" s="34">
        <f t="shared" si="38"/>
        <v>0</v>
      </c>
      <c r="H110" s="34">
        <f>VLOOKUP($B110,Utility!$A$5:$D$248,3,0)</f>
        <v>64187</v>
      </c>
      <c r="I110" s="34">
        <f>VLOOKUP($B110,Utility!$A$5:$D$248,4,0)</f>
        <v>0</v>
      </c>
      <c r="J110" s="34">
        <f t="shared" si="39"/>
        <v>64187</v>
      </c>
      <c r="K110" s="34"/>
      <c r="L110" s="34"/>
      <c r="M110" s="34">
        <f t="shared" si="40"/>
        <v>0</v>
      </c>
      <c r="N110" s="34">
        <f t="shared" si="41"/>
        <v>64187</v>
      </c>
      <c r="O110" s="34">
        <f t="shared" si="42"/>
        <v>0</v>
      </c>
      <c r="P110" s="34">
        <f t="shared" si="43"/>
        <v>64187</v>
      </c>
    </row>
    <row r="111" spans="1:16" hidden="1" x14ac:dyDescent="0.25">
      <c r="A111" s="8" t="s">
        <v>74</v>
      </c>
      <c r="B111" s="4" t="str">
        <f t="shared" si="49"/>
        <v>1730</v>
      </c>
      <c r="E111" s="34"/>
      <c r="F111" s="34"/>
      <c r="G111" s="34">
        <f t="shared" si="38"/>
        <v>0</v>
      </c>
      <c r="H111" s="34">
        <f>VLOOKUP($B111,Utility!$A$5:$D$248,3,0)</f>
        <v>0</v>
      </c>
      <c r="I111" s="34">
        <f>VLOOKUP($B111,Utility!$A$5:$D$248,4,0)</f>
        <v>64187</v>
      </c>
      <c r="J111" s="34">
        <f t="shared" si="39"/>
        <v>-64187</v>
      </c>
      <c r="K111" s="34"/>
      <c r="L111" s="34"/>
      <c r="M111" s="34">
        <f t="shared" si="40"/>
        <v>0</v>
      </c>
      <c r="N111" s="34">
        <f t="shared" si="41"/>
        <v>0</v>
      </c>
      <c r="O111" s="34">
        <f t="shared" si="42"/>
        <v>64187</v>
      </c>
      <c r="P111" s="34">
        <f t="shared" si="43"/>
        <v>-64187</v>
      </c>
    </row>
    <row r="112" spans="1:16" hidden="1" x14ac:dyDescent="0.25">
      <c r="A112" s="8" t="s">
        <v>75</v>
      </c>
      <c r="B112" s="4" t="str">
        <f t="shared" si="49"/>
        <v>1732</v>
      </c>
      <c r="E112" s="34"/>
      <c r="F112" s="34"/>
      <c r="G112" s="34">
        <f t="shared" si="38"/>
        <v>0</v>
      </c>
      <c r="H112" s="34">
        <f>VLOOKUP($B112,Utility!$A$5:$D$248,3,0)</f>
        <v>4647.8500000000004</v>
      </c>
      <c r="I112" s="34">
        <f>VLOOKUP($B112,Utility!$A$5:$D$248,4,0)</f>
        <v>0</v>
      </c>
      <c r="J112" s="34">
        <f t="shared" si="39"/>
        <v>4647.8500000000004</v>
      </c>
      <c r="K112" s="34"/>
      <c r="L112" s="34"/>
      <c r="M112" s="34">
        <f t="shared" si="40"/>
        <v>0</v>
      </c>
      <c r="N112" s="34">
        <f t="shared" si="41"/>
        <v>4647.8500000000004</v>
      </c>
      <c r="O112" s="34">
        <f t="shared" si="42"/>
        <v>0</v>
      </c>
      <c r="P112" s="34">
        <f t="shared" si="43"/>
        <v>4647.8500000000004</v>
      </c>
    </row>
    <row r="113" spans="1:16" hidden="1" x14ac:dyDescent="0.25">
      <c r="A113" s="8" t="s">
        <v>76</v>
      </c>
      <c r="B113" s="4" t="str">
        <f t="shared" si="49"/>
        <v>1734</v>
      </c>
      <c r="E113" s="34"/>
      <c r="F113" s="34"/>
      <c r="G113" s="34">
        <f t="shared" si="38"/>
        <v>0</v>
      </c>
      <c r="H113" s="34">
        <f>VLOOKUP($B113,Utility!$A$5:$D$248,3,0)</f>
        <v>0</v>
      </c>
      <c r="I113" s="34">
        <f>VLOOKUP($B113,Utility!$A$5:$D$248,4,0)</f>
        <v>871.47</v>
      </c>
      <c r="J113" s="34">
        <f t="shared" si="39"/>
        <v>-871.47</v>
      </c>
      <c r="K113" s="34"/>
      <c r="L113" s="34"/>
      <c r="M113" s="34">
        <f t="shared" si="40"/>
        <v>0</v>
      </c>
      <c r="N113" s="34">
        <f t="shared" si="41"/>
        <v>0</v>
      </c>
      <c r="O113" s="34">
        <f t="shared" si="42"/>
        <v>871.47</v>
      </c>
      <c r="P113" s="34">
        <f t="shared" si="43"/>
        <v>-871.47</v>
      </c>
    </row>
    <row r="114" spans="1:16" hidden="1" x14ac:dyDescent="0.25">
      <c r="A114" s="8" t="s">
        <v>77</v>
      </c>
      <c r="B114" s="4" t="str">
        <f t="shared" si="49"/>
        <v>1736</v>
      </c>
      <c r="E114" s="34"/>
      <c r="F114" s="34"/>
      <c r="G114" s="34">
        <f t="shared" si="38"/>
        <v>0</v>
      </c>
      <c r="H114" s="34">
        <f>VLOOKUP($B114,Utility!$A$5:$D$248,3,0)</f>
        <v>17807.169999999998</v>
      </c>
      <c r="I114" s="34">
        <f>VLOOKUP($B114,Utility!$A$5:$D$248,4,0)</f>
        <v>0</v>
      </c>
      <c r="J114" s="34">
        <f t="shared" si="39"/>
        <v>17807.169999999998</v>
      </c>
      <c r="K114" s="34"/>
      <c r="L114" s="34"/>
      <c r="M114" s="34">
        <f t="shared" si="40"/>
        <v>0</v>
      </c>
      <c r="N114" s="34">
        <f t="shared" si="41"/>
        <v>17807.169999999998</v>
      </c>
      <c r="O114" s="34">
        <f t="shared" si="42"/>
        <v>0</v>
      </c>
      <c r="P114" s="34">
        <f t="shared" si="43"/>
        <v>17807.169999999998</v>
      </c>
    </row>
    <row r="115" spans="1:16" hidden="1" x14ac:dyDescent="0.25">
      <c r="A115" s="8" t="s">
        <v>78</v>
      </c>
      <c r="B115" s="4" t="str">
        <f t="shared" si="49"/>
        <v>1738</v>
      </c>
      <c r="E115" s="34"/>
      <c r="F115" s="34"/>
      <c r="G115" s="34">
        <f t="shared" si="38"/>
        <v>0</v>
      </c>
      <c r="H115" s="34">
        <f>VLOOKUP($B115,Utility!$A$5:$D$248,3,0)</f>
        <v>0</v>
      </c>
      <c r="I115" s="34">
        <f>VLOOKUP($B115,Utility!$A$5:$D$248,4,0)</f>
        <v>2973.41</v>
      </c>
      <c r="J115" s="34">
        <f t="shared" si="39"/>
        <v>-2973.41</v>
      </c>
      <c r="K115" s="34"/>
      <c r="L115" s="34"/>
      <c r="M115" s="34">
        <f t="shared" si="40"/>
        <v>0</v>
      </c>
      <c r="N115" s="34">
        <f t="shared" si="41"/>
        <v>0</v>
      </c>
      <c r="O115" s="34">
        <f t="shared" si="42"/>
        <v>2973.41</v>
      </c>
      <c r="P115" s="34">
        <f t="shared" si="43"/>
        <v>-2973.41</v>
      </c>
    </row>
    <row r="116" spans="1:16" hidden="1" x14ac:dyDescent="0.25">
      <c r="A116" s="8" t="s">
        <v>79</v>
      </c>
      <c r="B116" s="4" t="str">
        <f t="shared" si="49"/>
        <v>1740</v>
      </c>
      <c r="E116" s="34"/>
      <c r="F116" s="34"/>
      <c r="G116" s="34">
        <f t="shared" si="38"/>
        <v>0</v>
      </c>
      <c r="H116" s="34">
        <f>VLOOKUP($B116,Utility!$A$5:$D$248,3,0)</f>
        <v>1500</v>
      </c>
      <c r="I116" s="34">
        <f>VLOOKUP($B116,Utility!$A$5:$D$248,4,0)</f>
        <v>0</v>
      </c>
      <c r="J116" s="34">
        <f t="shared" si="39"/>
        <v>1500</v>
      </c>
      <c r="K116" s="34"/>
      <c r="L116" s="34"/>
      <c r="M116" s="34">
        <f t="shared" si="40"/>
        <v>0</v>
      </c>
      <c r="N116" s="34">
        <f t="shared" si="41"/>
        <v>1500</v>
      </c>
      <c r="O116" s="34">
        <f t="shared" si="42"/>
        <v>0</v>
      </c>
      <c r="P116" s="34">
        <f t="shared" si="43"/>
        <v>1500</v>
      </c>
    </row>
    <row r="117" spans="1:16" hidden="1" x14ac:dyDescent="0.25">
      <c r="A117" s="8" t="s">
        <v>80</v>
      </c>
      <c r="B117" s="4" t="str">
        <f t="shared" si="49"/>
        <v>1745</v>
      </c>
      <c r="E117" s="34"/>
      <c r="F117" s="34"/>
      <c r="G117" s="34">
        <f t="shared" si="38"/>
        <v>0</v>
      </c>
      <c r="H117" s="34">
        <f>VLOOKUP($B117,Utility!$A$5:$D$248,3,0)</f>
        <v>0</v>
      </c>
      <c r="I117" s="34">
        <f>VLOOKUP($B117,Utility!$A$5:$D$248,4,0)</f>
        <v>449.89</v>
      </c>
      <c r="J117" s="34">
        <f t="shared" si="39"/>
        <v>-449.89</v>
      </c>
      <c r="K117" s="34"/>
      <c r="L117" s="34"/>
      <c r="M117" s="34">
        <f t="shared" si="40"/>
        <v>0</v>
      </c>
      <c r="N117" s="34">
        <f t="shared" si="41"/>
        <v>0</v>
      </c>
      <c r="O117" s="34">
        <f t="shared" si="42"/>
        <v>449.89</v>
      </c>
      <c r="P117" s="34">
        <f t="shared" si="43"/>
        <v>-449.89</v>
      </c>
    </row>
    <row r="118" spans="1:16" hidden="1" x14ac:dyDescent="0.25">
      <c r="A118" s="8" t="s">
        <v>81</v>
      </c>
      <c r="B118" s="4" t="str">
        <f t="shared" si="49"/>
        <v>1760</v>
      </c>
      <c r="E118" s="34"/>
      <c r="F118" s="34"/>
      <c r="G118" s="34">
        <f t="shared" si="38"/>
        <v>0</v>
      </c>
      <c r="H118" s="34">
        <f>VLOOKUP($B118,Utility!$A$5:$D$248,3,0)</f>
        <v>40082.22</v>
      </c>
      <c r="I118" s="34">
        <f>VLOOKUP($B118,Utility!$A$5:$D$248,4,0)</f>
        <v>0</v>
      </c>
      <c r="J118" s="34">
        <f t="shared" si="39"/>
        <v>40082.22</v>
      </c>
      <c r="K118" s="34"/>
      <c r="L118" s="34"/>
      <c r="M118" s="34">
        <f t="shared" si="40"/>
        <v>0</v>
      </c>
      <c r="N118" s="34">
        <f t="shared" si="41"/>
        <v>40082.22</v>
      </c>
      <c r="O118" s="34">
        <f t="shared" si="42"/>
        <v>0</v>
      </c>
      <c r="P118" s="34">
        <f t="shared" si="43"/>
        <v>40082.22</v>
      </c>
    </row>
    <row r="119" spans="1:16" hidden="1" x14ac:dyDescent="0.25">
      <c r="A119" s="8" t="s">
        <v>82</v>
      </c>
      <c r="B119" s="4" t="str">
        <f t="shared" si="49"/>
        <v>1765</v>
      </c>
      <c r="E119" s="34"/>
      <c r="F119" s="34"/>
      <c r="G119" s="34">
        <f t="shared" si="38"/>
        <v>0</v>
      </c>
      <c r="H119" s="34">
        <f>VLOOKUP($B119,Utility!$A$5:$D$248,3,0)</f>
        <v>0</v>
      </c>
      <c r="I119" s="34">
        <f>VLOOKUP($B119,Utility!$A$5:$D$248,4,0)</f>
        <v>31919.58</v>
      </c>
      <c r="J119" s="34">
        <f t="shared" si="39"/>
        <v>-31919.58</v>
      </c>
      <c r="K119" s="34"/>
      <c r="L119" s="34"/>
      <c r="M119" s="34">
        <f t="shared" si="40"/>
        <v>0</v>
      </c>
      <c r="N119" s="34">
        <f t="shared" si="41"/>
        <v>0</v>
      </c>
      <c r="O119" s="34">
        <f t="shared" si="42"/>
        <v>31919.58</v>
      </c>
      <c r="P119" s="34">
        <f t="shared" si="43"/>
        <v>-31919.58</v>
      </c>
    </row>
    <row r="120" spans="1:16" hidden="1" x14ac:dyDescent="0.25">
      <c r="A120" s="8" t="s">
        <v>83</v>
      </c>
      <c r="B120" s="4" t="str">
        <f t="shared" si="49"/>
        <v>1770</v>
      </c>
      <c r="E120" s="34"/>
      <c r="F120" s="34"/>
      <c r="G120" s="34">
        <f t="shared" si="38"/>
        <v>0</v>
      </c>
      <c r="H120" s="34">
        <f>VLOOKUP($B120,Utility!$A$5:$D$248,3,0)</f>
        <v>711938.12</v>
      </c>
      <c r="I120" s="34">
        <f>VLOOKUP($B120,Utility!$A$5:$D$248,4,0)</f>
        <v>0</v>
      </c>
      <c r="J120" s="34">
        <f t="shared" si="39"/>
        <v>711938.12</v>
      </c>
      <c r="K120" s="34"/>
      <c r="L120" s="34"/>
      <c r="M120" s="34">
        <f t="shared" si="40"/>
        <v>0</v>
      </c>
      <c r="N120" s="34">
        <f t="shared" si="41"/>
        <v>711938.12</v>
      </c>
      <c r="O120" s="34">
        <f t="shared" si="42"/>
        <v>0</v>
      </c>
      <c r="P120" s="34">
        <f t="shared" si="43"/>
        <v>711938.12</v>
      </c>
    </row>
    <row r="121" spans="1:16" hidden="1" x14ac:dyDescent="0.25">
      <c r="A121" s="8" t="s">
        <v>84</v>
      </c>
      <c r="B121" s="4" t="str">
        <f t="shared" si="49"/>
        <v>1775</v>
      </c>
      <c r="E121" s="34"/>
      <c r="F121" s="34"/>
      <c r="G121" s="34">
        <f t="shared" si="38"/>
        <v>0</v>
      </c>
      <c r="H121" s="34">
        <f>VLOOKUP($B121,Utility!$A$5:$D$248,3,0)</f>
        <v>0</v>
      </c>
      <c r="I121" s="34">
        <f>VLOOKUP($B121,Utility!$A$5:$D$248,4,0)</f>
        <v>220348.96</v>
      </c>
      <c r="J121" s="34">
        <f t="shared" si="39"/>
        <v>-220348.96</v>
      </c>
      <c r="K121" s="34"/>
      <c r="L121" s="34"/>
      <c r="M121" s="34">
        <f t="shared" si="40"/>
        <v>0</v>
      </c>
      <c r="N121" s="34">
        <f t="shared" si="41"/>
        <v>0</v>
      </c>
      <c r="O121" s="34">
        <f t="shared" si="42"/>
        <v>220348.96</v>
      </c>
      <c r="P121" s="34">
        <f t="shared" si="43"/>
        <v>-220348.96</v>
      </c>
    </row>
    <row r="122" spans="1:16" hidden="1" x14ac:dyDescent="0.25">
      <c r="A122" s="8" t="s">
        <v>85</v>
      </c>
      <c r="B122" s="4" t="str">
        <f t="shared" si="49"/>
        <v>1778</v>
      </c>
      <c r="E122" s="34"/>
      <c r="F122" s="34"/>
      <c r="G122" s="34">
        <f t="shared" si="38"/>
        <v>0</v>
      </c>
      <c r="H122" s="34">
        <f>VLOOKUP($B122,Utility!$A$5:$D$248,3,0)</f>
        <v>25277.4</v>
      </c>
      <c r="I122" s="34">
        <f>VLOOKUP($B122,Utility!$A$5:$D$248,4,0)</f>
        <v>0</v>
      </c>
      <c r="J122" s="34">
        <f t="shared" si="39"/>
        <v>25277.4</v>
      </c>
      <c r="K122" s="34"/>
      <c r="L122" s="34"/>
      <c r="M122" s="34">
        <f t="shared" si="40"/>
        <v>0</v>
      </c>
      <c r="N122" s="34">
        <f t="shared" si="41"/>
        <v>25277.4</v>
      </c>
      <c r="O122" s="34">
        <f t="shared" si="42"/>
        <v>0</v>
      </c>
      <c r="P122" s="34">
        <f t="shared" si="43"/>
        <v>25277.4</v>
      </c>
    </row>
    <row r="123" spans="1:16" hidden="1" x14ac:dyDescent="0.25">
      <c r="A123" s="8" t="s">
        <v>86</v>
      </c>
      <c r="B123" s="4" t="str">
        <f t="shared" si="49"/>
        <v>1779</v>
      </c>
      <c r="E123" s="34"/>
      <c r="F123" s="34"/>
      <c r="G123" s="34">
        <f t="shared" si="38"/>
        <v>0</v>
      </c>
      <c r="H123" s="34">
        <f>VLOOKUP($B123,Utility!$A$5:$D$248,3,0)</f>
        <v>8703.98</v>
      </c>
      <c r="I123" s="34">
        <f>VLOOKUP($B123,Utility!$A$5:$D$248,4,0)</f>
        <v>0</v>
      </c>
      <c r="J123" s="34">
        <f t="shared" si="39"/>
        <v>8703.98</v>
      </c>
      <c r="K123" s="34"/>
      <c r="L123" s="34"/>
      <c r="M123" s="34">
        <f t="shared" si="40"/>
        <v>0</v>
      </c>
      <c r="N123" s="34">
        <f t="shared" si="41"/>
        <v>8703.98</v>
      </c>
      <c r="O123" s="34">
        <f t="shared" si="42"/>
        <v>0</v>
      </c>
      <c r="P123" s="34">
        <f t="shared" si="43"/>
        <v>8703.98</v>
      </c>
    </row>
    <row r="124" spans="1:16" hidden="1" x14ac:dyDescent="0.25">
      <c r="A124" s="8" t="s">
        <v>87</v>
      </c>
      <c r="B124" s="4" t="str">
        <f t="shared" si="49"/>
        <v>1780</v>
      </c>
      <c r="E124" s="34"/>
      <c r="F124" s="34"/>
      <c r="G124" s="34">
        <f t="shared" si="38"/>
        <v>0</v>
      </c>
      <c r="H124" s="34">
        <f>VLOOKUP($B124,Utility!$A$5:$D$248,3,0)</f>
        <v>90634.94</v>
      </c>
      <c r="I124" s="34">
        <f>VLOOKUP($B124,Utility!$A$5:$D$248,4,0)</f>
        <v>0</v>
      </c>
      <c r="J124" s="34">
        <f t="shared" si="39"/>
        <v>90634.94</v>
      </c>
      <c r="K124" s="34"/>
      <c r="L124" s="34"/>
      <c r="M124" s="34">
        <f t="shared" si="40"/>
        <v>0</v>
      </c>
      <c r="N124" s="34">
        <f t="shared" si="41"/>
        <v>90634.94</v>
      </c>
      <c r="O124" s="34">
        <f t="shared" si="42"/>
        <v>0</v>
      </c>
      <c r="P124" s="34">
        <f t="shared" si="43"/>
        <v>90634.94</v>
      </c>
    </row>
    <row r="125" spans="1:16" hidden="1" x14ac:dyDescent="0.25">
      <c r="A125" s="8" t="s">
        <v>88</v>
      </c>
      <c r="B125" s="4" t="str">
        <f t="shared" si="49"/>
        <v>1785</v>
      </c>
      <c r="E125" s="34"/>
      <c r="F125" s="34"/>
      <c r="G125" s="34">
        <f t="shared" si="38"/>
        <v>0</v>
      </c>
      <c r="H125" s="34">
        <f>VLOOKUP($B125,Utility!$A$5:$D$248,3,0)</f>
        <v>0</v>
      </c>
      <c r="I125" s="34">
        <f>VLOOKUP($B125,Utility!$A$5:$D$248,4,0)</f>
        <v>27274.07</v>
      </c>
      <c r="J125" s="34">
        <f t="shared" si="39"/>
        <v>-27274.07</v>
      </c>
      <c r="K125" s="34"/>
      <c r="L125" s="34"/>
      <c r="M125" s="34">
        <f t="shared" si="40"/>
        <v>0</v>
      </c>
      <c r="N125" s="34">
        <f t="shared" si="41"/>
        <v>0</v>
      </c>
      <c r="O125" s="34">
        <f t="shared" si="42"/>
        <v>27274.07</v>
      </c>
      <c r="P125" s="34">
        <f t="shared" si="43"/>
        <v>-27274.07</v>
      </c>
    </row>
    <row r="126" spans="1:16" hidden="1" x14ac:dyDescent="0.25">
      <c r="A126" s="8" t="s">
        <v>89</v>
      </c>
      <c r="B126" s="4" t="str">
        <f t="shared" si="49"/>
        <v>1790</v>
      </c>
      <c r="E126" s="34"/>
      <c r="F126" s="34"/>
      <c r="G126" s="34">
        <f t="shared" si="38"/>
        <v>0</v>
      </c>
      <c r="H126" s="34">
        <f>VLOOKUP($B126,Utility!$A$5:$D$248,3,0)</f>
        <v>1562713.87</v>
      </c>
      <c r="I126" s="34">
        <f>VLOOKUP($B126,Utility!$A$5:$D$248,4,0)</f>
        <v>0</v>
      </c>
      <c r="J126" s="34">
        <f t="shared" si="39"/>
        <v>1562713.87</v>
      </c>
      <c r="K126" s="34"/>
      <c r="L126" s="34"/>
      <c r="M126" s="34">
        <f t="shared" si="40"/>
        <v>0</v>
      </c>
      <c r="N126" s="34">
        <f t="shared" si="41"/>
        <v>1562713.87</v>
      </c>
      <c r="O126" s="34">
        <f t="shared" si="42"/>
        <v>0</v>
      </c>
      <c r="P126" s="34">
        <f t="shared" si="43"/>
        <v>1562713.87</v>
      </c>
    </row>
    <row r="127" spans="1:16" hidden="1" x14ac:dyDescent="0.25">
      <c r="A127" s="8" t="s">
        <v>90</v>
      </c>
      <c r="B127" s="4" t="str">
        <f t="shared" si="49"/>
        <v>1795</v>
      </c>
      <c r="E127" s="34"/>
      <c r="F127" s="34"/>
      <c r="G127" s="34">
        <f t="shared" si="38"/>
        <v>0</v>
      </c>
      <c r="H127" s="34">
        <f>VLOOKUP($B127,Utility!$A$5:$D$248,3,0)</f>
        <v>0</v>
      </c>
      <c r="I127" s="34">
        <f>VLOOKUP($B127,Utility!$A$5:$D$248,4,0)</f>
        <v>458448.61</v>
      </c>
      <c r="J127" s="34">
        <f t="shared" si="39"/>
        <v>-458448.61</v>
      </c>
      <c r="K127" s="34"/>
      <c r="L127" s="34"/>
      <c r="M127" s="34">
        <f t="shared" si="40"/>
        <v>0</v>
      </c>
      <c r="N127" s="34">
        <f t="shared" si="41"/>
        <v>0</v>
      </c>
      <c r="O127" s="34">
        <f t="shared" si="42"/>
        <v>458448.61</v>
      </c>
      <c r="P127" s="34">
        <f t="shared" si="43"/>
        <v>-458448.61</v>
      </c>
    </row>
    <row r="128" spans="1:16" hidden="1" x14ac:dyDescent="0.25">
      <c r="A128" s="8" t="s">
        <v>91</v>
      </c>
      <c r="B128" s="4" t="str">
        <f t="shared" si="49"/>
        <v>1800</v>
      </c>
      <c r="E128" s="34"/>
      <c r="F128" s="34"/>
      <c r="G128" s="34">
        <f t="shared" si="38"/>
        <v>0</v>
      </c>
      <c r="H128" s="34">
        <f>VLOOKUP($B128,Utility!$A$5:$D$248,3,0)</f>
        <v>263980.33</v>
      </c>
      <c r="I128" s="34">
        <f>VLOOKUP($B128,Utility!$A$5:$D$248,4,0)</f>
        <v>0</v>
      </c>
      <c r="J128" s="34">
        <f t="shared" si="39"/>
        <v>263980.33</v>
      </c>
      <c r="K128" s="34"/>
      <c r="L128" s="34"/>
      <c r="M128" s="34">
        <f t="shared" si="40"/>
        <v>0</v>
      </c>
      <c r="N128" s="34">
        <f t="shared" si="41"/>
        <v>263980.33</v>
      </c>
      <c r="O128" s="34">
        <f t="shared" si="42"/>
        <v>0</v>
      </c>
      <c r="P128" s="34">
        <f t="shared" si="43"/>
        <v>263980.33</v>
      </c>
    </row>
    <row r="129" spans="1:16" hidden="1" x14ac:dyDescent="0.25">
      <c r="A129" s="8" t="s">
        <v>92</v>
      </c>
      <c r="B129" s="4" t="str">
        <f t="shared" si="49"/>
        <v>1805</v>
      </c>
      <c r="E129" s="34"/>
      <c r="F129" s="34"/>
      <c r="G129" s="34">
        <f t="shared" si="38"/>
        <v>0</v>
      </c>
      <c r="H129" s="34">
        <f>VLOOKUP($B129,Utility!$A$5:$D$248,3,0)</f>
        <v>0</v>
      </c>
      <c r="I129" s="34">
        <f>VLOOKUP($B129,Utility!$A$5:$D$248,4,0)</f>
        <v>236914.57</v>
      </c>
      <c r="J129" s="34">
        <f t="shared" si="39"/>
        <v>-236914.57</v>
      </c>
      <c r="K129" s="34"/>
      <c r="L129" s="34"/>
      <c r="M129" s="34">
        <f t="shared" si="40"/>
        <v>0</v>
      </c>
      <c r="N129" s="34">
        <f t="shared" si="41"/>
        <v>0</v>
      </c>
      <c r="O129" s="34">
        <f t="shared" si="42"/>
        <v>236914.57</v>
      </c>
      <c r="P129" s="34">
        <f t="shared" si="43"/>
        <v>-236914.57</v>
      </c>
    </row>
    <row r="130" spans="1:16" hidden="1" x14ac:dyDescent="0.25">
      <c r="A130" s="8" t="s">
        <v>93</v>
      </c>
      <c r="B130" s="4" t="str">
        <f t="shared" si="49"/>
        <v>1810</v>
      </c>
      <c r="E130" s="34"/>
      <c r="F130" s="34"/>
      <c r="G130" s="34">
        <f t="shared" si="38"/>
        <v>0</v>
      </c>
      <c r="H130" s="34">
        <f>VLOOKUP($B130,Utility!$A$5:$D$248,3,0)</f>
        <v>16668.310000000001</v>
      </c>
      <c r="I130" s="34">
        <f>VLOOKUP($B130,Utility!$A$5:$D$248,4,0)</f>
        <v>0</v>
      </c>
      <c r="J130" s="34">
        <f t="shared" si="39"/>
        <v>16668.310000000001</v>
      </c>
      <c r="K130" s="34"/>
      <c r="L130" s="34"/>
      <c r="M130" s="34">
        <f t="shared" si="40"/>
        <v>0</v>
      </c>
      <c r="N130" s="34">
        <f t="shared" si="41"/>
        <v>16668.310000000001</v>
      </c>
      <c r="O130" s="34">
        <f t="shared" si="42"/>
        <v>0</v>
      </c>
      <c r="P130" s="34">
        <f t="shared" si="43"/>
        <v>16668.310000000001</v>
      </c>
    </row>
    <row r="131" spans="1:16" hidden="1" x14ac:dyDescent="0.25">
      <c r="A131" s="8" t="s">
        <v>94</v>
      </c>
      <c r="B131" s="4" t="str">
        <f t="shared" si="49"/>
        <v>1815</v>
      </c>
      <c r="E131" s="34"/>
      <c r="F131" s="34"/>
      <c r="G131" s="34">
        <f t="shared" si="38"/>
        <v>0</v>
      </c>
      <c r="H131" s="34">
        <f>VLOOKUP($B131,Utility!$A$5:$D$248,3,0)</f>
        <v>0</v>
      </c>
      <c r="I131" s="34">
        <f>VLOOKUP($B131,Utility!$A$5:$D$248,4,0)</f>
        <v>4914.1400000000003</v>
      </c>
      <c r="J131" s="34">
        <f t="shared" si="39"/>
        <v>-4914.1400000000003</v>
      </c>
      <c r="K131" s="34"/>
      <c r="L131" s="34"/>
      <c r="M131" s="34">
        <f t="shared" si="40"/>
        <v>0</v>
      </c>
      <c r="N131" s="34">
        <f t="shared" si="41"/>
        <v>0</v>
      </c>
      <c r="O131" s="34">
        <f t="shared" si="42"/>
        <v>4914.1400000000003</v>
      </c>
      <c r="P131" s="34">
        <f t="shared" si="43"/>
        <v>-4914.1400000000003</v>
      </c>
    </row>
    <row r="132" spans="1:16" hidden="1" x14ac:dyDescent="0.25">
      <c r="A132" s="8" t="s">
        <v>95</v>
      </c>
      <c r="B132" s="4" t="str">
        <f t="shared" si="49"/>
        <v>1820</v>
      </c>
      <c r="E132" s="34"/>
      <c r="F132" s="34"/>
      <c r="G132" s="34">
        <f t="shared" si="38"/>
        <v>0</v>
      </c>
      <c r="H132" s="34">
        <f>VLOOKUP($B132,Utility!$A$5:$D$248,3,0)</f>
        <v>23112.41</v>
      </c>
      <c r="I132" s="34">
        <f>VLOOKUP($B132,Utility!$A$5:$D$248,4,0)</f>
        <v>0</v>
      </c>
      <c r="J132" s="34">
        <f t="shared" si="39"/>
        <v>23112.41</v>
      </c>
      <c r="K132" s="34"/>
      <c r="L132" s="34"/>
      <c r="M132" s="34">
        <f t="shared" si="40"/>
        <v>0</v>
      </c>
      <c r="N132" s="34">
        <f t="shared" si="41"/>
        <v>23112.41</v>
      </c>
      <c r="O132" s="34">
        <f t="shared" si="42"/>
        <v>0</v>
      </c>
      <c r="P132" s="34">
        <f t="shared" si="43"/>
        <v>23112.41</v>
      </c>
    </row>
    <row r="133" spans="1:16" hidden="1" x14ac:dyDescent="0.25">
      <c r="A133" s="8" t="s">
        <v>96</v>
      </c>
      <c r="B133" s="4" t="str">
        <f t="shared" si="49"/>
        <v>1825</v>
      </c>
      <c r="E133" s="34"/>
      <c r="F133" s="34"/>
      <c r="G133" s="34">
        <f t="shared" si="38"/>
        <v>0</v>
      </c>
      <c r="H133" s="34">
        <f>VLOOKUP($B133,Utility!$A$5:$D$248,3,0)</f>
        <v>0</v>
      </c>
      <c r="I133" s="34">
        <f>VLOOKUP($B133,Utility!$A$5:$D$248,4,0)</f>
        <v>20659.099999999999</v>
      </c>
      <c r="J133" s="34">
        <f t="shared" si="39"/>
        <v>-20659.099999999999</v>
      </c>
      <c r="K133" s="34"/>
      <c r="L133" s="34"/>
      <c r="M133" s="34">
        <f t="shared" si="40"/>
        <v>0</v>
      </c>
      <c r="N133" s="34">
        <f t="shared" si="41"/>
        <v>0</v>
      </c>
      <c r="O133" s="34">
        <f t="shared" si="42"/>
        <v>20659.099999999999</v>
      </c>
      <c r="P133" s="34">
        <f t="shared" si="43"/>
        <v>-20659.099999999999</v>
      </c>
    </row>
    <row r="134" spans="1:16" hidden="1" x14ac:dyDescent="0.25">
      <c r="A134" s="8" t="s">
        <v>97</v>
      </c>
      <c r="B134" s="4" t="str">
        <f t="shared" si="49"/>
        <v>1830</v>
      </c>
      <c r="E134" s="34"/>
      <c r="F134" s="34"/>
      <c r="G134" s="34">
        <f t="shared" si="38"/>
        <v>0</v>
      </c>
      <c r="H134" s="34">
        <f>VLOOKUP($B134,Utility!$A$5:$D$248,3,0)</f>
        <v>1136299.8400000001</v>
      </c>
      <c r="I134" s="34">
        <f>VLOOKUP($B134,Utility!$A$5:$D$248,4,0)</f>
        <v>0</v>
      </c>
      <c r="J134" s="34">
        <f t="shared" si="39"/>
        <v>1136299.8400000001</v>
      </c>
      <c r="K134" s="34"/>
      <c r="L134" s="34"/>
      <c r="M134" s="34">
        <f t="shared" si="40"/>
        <v>0</v>
      </c>
      <c r="N134" s="34">
        <f t="shared" si="41"/>
        <v>1136299.8400000001</v>
      </c>
      <c r="O134" s="34">
        <f t="shared" si="42"/>
        <v>0</v>
      </c>
      <c r="P134" s="34">
        <f t="shared" si="43"/>
        <v>1136299.8400000001</v>
      </c>
    </row>
    <row r="135" spans="1:16" hidden="1" x14ac:dyDescent="0.25">
      <c r="A135" s="8" t="s">
        <v>98</v>
      </c>
      <c r="B135" s="4" t="str">
        <f t="shared" si="49"/>
        <v>1835</v>
      </c>
      <c r="E135" s="34"/>
      <c r="F135" s="34"/>
      <c r="G135" s="34">
        <f t="shared" si="38"/>
        <v>0</v>
      </c>
      <c r="H135" s="34">
        <f>VLOOKUP($B135,Utility!$A$5:$D$248,3,0)</f>
        <v>0</v>
      </c>
      <c r="I135" s="34">
        <f>VLOOKUP($B135,Utility!$A$5:$D$248,4,0)</f>
        <v>191583.16</v>
      </c>
      <c r="J135" s="34">
        <f t="shared" si="39"/>
        <v>-191583.16</v>
      </c>
      <c r="K135" s="34"/>
      <c r="L135" s="34"/>
      <c r="M135" s="34">
        <f t="shared" si="40"/>
        <v>0</v>
      </c>
      <c r="N135" s="34">
        <f t="shared" si="41"/>
        <v>0</v>
      </c>
      <c r="O135" s="34">
        <f t="shared" si="42"/>
        <v>191583.16</v>
      </c>
      <c r="P135" s="34">
        <f t="shared" si="43"/>
        <v>-191583.16</v>
      </c>
    </row>
    <row r="136" spans="1:16" hidden="1" x14ac:dyDescent="0.25">
      <c r="A136" s="8" t="s">
        <v>99</v>
      </c>
      <c r="B136" s="4" t="str">
        <f t="shared" si="49"/>
        <v>1840</v>
      </c>
      <c r="E136" s="34"/>
      <c r="F136" s="34"/>
      <c r="G136" s="34">
        <f t="shared" si="38"/>
        <v>0</v>
      </c>
      <c r="H136" s="34">
        <f>VLOOKUP($B136,Utility!$A$5:$D$248,3,0)</f>
        <v>1500</v>
      </c>
      <c r="I136" s="34">
        <f>VLOOKUP($B136,Utility!$A$5:$D$248,4,0)</f>
        <v>0</v>
      </c>
      <c r="J136" s="34">
        <f t="shared" si="39"/>
        <v>1500</v>
      </c>
      <c r="K136" s="34"/>
      <c r="L136" s="34"/>
      <c r="M136" s="34">
        <f t="shared" si="40"/>
        <v>0</v>
      </c>
      <c r="N136" s="34">
        <f t="shared" si="41"/>
        <v>1500</v>
      </c>
      <c r="O136" s="34">
        <f t="shared" si="42"/>
        <v>0</v>
      </c>
      <c r="P136" s="34">
        <f t="shared" si="43"/>
        <v>1500</v>
      </c>
    </row>
    <row r="137" spans="1:16" hidden="1" x14ac:dyDescent="0.25">
      <c r="A137" s="8" t="s">
        <v>100</v>
      </c>
      <c r="B137" s="4" t="str">
        <f t="shared" si="49"/>
        <v>1845</v>
      </c>
      <c r="E137" s="34"/>
      <c r="F137" s="34"/>
      <c r="G137" s="34">
        <f t="shared" si="38"/>
        <v>0</v>
      </c>
      <c r="H137" s="34">
        <f>VLOOKUP($B137,Utility!$A$5:$D$248,3,0)</f>
        <v>0</v>
      </c>
      <c r="I137" s="34">
        <f>VLOOKUP($B137,Utility!$A$5:$D$248,4,0)</f>
        <v>450</v>
      </c>
      <c r="J137" s="34">
        <f t="shared" ref="J137:J201" si="50">IF(H137&gt;0,H137,-I137)</f>
        <v>-450</v>
      </c>
      <c r="K137" s="34"/>
      <c r="L137" s="34"/>
      <c r="M137" s="34">
        <f t="shared" ref="M137:M201" si="51">IF(K137&gt;0,K137,-L137)</f>
        <v>0</v>
      </c>
      <c r="N137" s="34">
        <f t="shared" si="41"/>
        <v>0</v>
      </c>
      <c r="O137" s="34">
        <f t="shared" si="42"/>
        <v>450</v>
      </c>
      <c r="P137" s="34">
        <f t="shared" si="43"/>
        <v>-450</v>
      </c>
    </row>
    <row r="138" spans="1:16" hidden="1" x14ac:dyDescent="0.25">
      <c r="A138" s="8" t="s">
        <v>8</v>
      </c>
      <c r="C138" s="103">
        <f t="shared" ref="C138:D138" si="52">SUM(C105:C137)</f>
        <v>0</v>
      </c>
      <c r="D138" s="99">
        <f t="shared" si="52"/>
        <v>0</v>
      </c>
      <c r="E138" s="35">
        <f>SUM(E105:E137)</f>
        <v>0</v>
      </c>
      <c r="F138" s="35">
        <f t="shared" ref="F138:P138" si="53">SUM(F105:F137)</f>
        <v>0</v>
      </c>
      <c r="G138" s="35">
        <f t="shared" si="53"/>
        <v>0</v>
      </c>
      <c r="H138" s="35">
        <f t="shared" si="53"/>
        <v>9315619.2500000019</v>
      </c>
      <c r="I138" s="35">
        <f t="shared" si="53"/>
        <v>2295405.84</v>
      </c>
      <c r="J138" s="35">
        <f t="shared" si="53"/>
        <v>7020213.4100000011</v>
      </c>
      <c r="K138" s="35">
        <f t="shared" si="53"/>
        <v>0</v>
      </c>
      <c r="L138" s="35">
        <f t="shared" si="53"/>
        <v>0</v>
      </c>
      <c r="M138" s="35">
        <f t="shared" si="53"/>
        <v>0</v>
      </c>
      <c r="N138" s="35">
        <f t="shared" si="53"/>
        <v>9315619.2500000019</v>
      </c>
      <c r="O138" s="35">
        <f t="shared" si="53"/>
        <v>2295405.84</v>
      </c>
      <c r="P138" s="35">
        <f t="shared" si="53"/>
        <v>7020213.4100000011</v>
      </c>
    </row>
    <row r="139" spans="1:16" hidden="1" x14ac:dyDescent="0.25">
      <c r="E139" s="34"/>
      <c r="F139" s="34"/>
      <c r="G139" s="34">
        <f t="shared" ref="G139:G202" si="54">IF(E139&gt;0,E139,-F139)</f>
        <v>0</v>
      </c>
      <c r="H139" s="34"/>
      <c r="I139" s="34"/>
      <c r="J139" s="34">
        <f t="shared" si="50"/>
        <v>0</v>
      </c>
      <c r="K139" s="34"/>
      <c r="L139" s="34"/>
      <c r="M139" s="34">
        <f t="shared" si="51"/>
        <v>0</v>
      </c>
      <c r="N139" s="34">
        <f t="shared" ref="N139:N202" si="55">E139+H139+K139</f>
        <v>0</v>
      </c>
      <c r="O139" s="34">
        <f t="shared" ref="O139:O202" si="56">F139+I139+L139</f>
        <v>0</v>
      </c>
      <c r="P139" s="34">
        <f t="shared" ref="P139:P202" si="57">IF(N139&gt;0,N139,-O139)</f>
        <v>0</v>
      </c>
    </row>
    <row r="140" spans="1:16" hidden="1" x14ac:dyDescent="0.25">
      <c r="A140" s="8" t="s">
        <v>101</v>
      </c>
      <c r="B140" s="4" t="str">
        <f>LEFT(A140,4)</f>
        <v>1550</v>
      </c>
      <c r="E140" s="34"/>
      <c r="F140" s="34"/>
      <c r="G140" s="34">
        <f t="shared" si="54"/>
        <v>0</v>
      </c>
      <c r="H140" s="34"/>
      <c r="I140" s="34"/>
      <c r="J140" s="34">
        <f t="shared" si="50"/>
        <v>0</v>
      </c>
      <c r="K140" s="34">
        <f>VLOOKUP($B140,Arena_Sage!$A$5:$D$189,3,0)</f>
        <v>233830.25</v>
      </c>
      <c r="L140" s="34">
        <f>VLOOKUP($B140,Arena_Sage!$A$5:$D$189,4,0)</f>
        <v>0</v>
      </c>
      <c r="M140" s="34">
        <f t="shared" si="51"/>
        <v>233830.25</v>
      </c>
      <c r="N140" s="34">
        <f t="shared" si="55"/>
        <v>233830.25</v>
      </c>
      <c r="O140" s="34">
        <f t="shared" si="56"/>
        <v>0</v>
      </c>
      <c r="P140" s="34">
        <f t="shared" si="57"/>
        <v>233830.25</v>
      </c>
    </row>
    <row r="141" spans="1:16" hidden="1" x14ac:dyDescent="0.25">
      <c r="A141" s="8" t="s">
        <v>102</v>
      </c>
      <c r="B141" s="4" t="str">
        <f>LEFT(A141,4)</f>
        <v>1555</v>
      </c>
      <c r="E141" s="34"/>
      <c r="F141" s="34"/>
      <c r="G141" s="34">
        <f t="shared" si="54"/>
        <v>0</v>
      </c>
      <c r="H141" s="34"/>
      <c r="I141" s="34"/>
      <c r="J141" s="34">
        <f t="shared" si="50"/>
        <v>0</v>
      </c>
      <c r="K141" s="34">
        <f>VLOOKUP($B141,Arena_Sage!$A$5:$D$189,3,0)</f>
        <v>0</v>
      </c>
      <c r="L141" s="34">
        <f>VLOOKUP($B141,Arena_Sage!$A$5:$D$189,4,0)</f>
        <v>86300.79</v>
      </c>
      <c r="M141" s="34">
        <f t="shared" si="51"/>
        <v>-86300.79</v>
      </c>
      <c r="N141" s="34">
        <f t="shared" si="55"/>
        <v>0</v>
      </c>
      <c r="O141" s="34">
        <f t="shared" si="56"/>
        <v>86300.79</v>
      </c>
      <c r="P141" s="34">
        <f t="shared" si="57"/>
        <v>-86300.79</v>
      </c>
    </row>
    <row r="142" spans="1:16" hidden="1" x14ac:dyDescent="0.25">
      <c r="A142" s="8" t="s">
        <v>12</v>
      </c>
      <c r="C142" s="103">
        <f t="shared" ref="C142:D142" si="58">SUM(C140:C141)</f>
        <v>0</v>
      </c>
      <c r="D142" s="99">
        <f t="shared" si="58"/>
        <v>0</v>
      </c>
      <c r="E142" s="35">
        <f>SUM(E140:E141)</f>
        <v>0</v>
      </c>
      <c r="F142" s="35">
        <f t="shared" ref="F142:P142" si="59">SUM(F140:F141)</f>
        <v>0</v>
      </c>
      <c r="G142" s="35">
        <f t="shared" si="59"/>
        <v>0</v>
      </c>
      <c r="H142" s="35">
        <f t="shared" si="59"/>
        <v>0</v>
      </c>
      <c r="I142" s="35">
        <f t="shared" si="59"/>
        <v>0</v>
      </c>
      <c r="J142" s="35">
        <f t="shared" si="59"/>
        <v>0</v>
      </c>
      <c r="K142" s="35">
        <f t="shared" si="59"/>
        <v>233830.25</v>
      </c>
      <c r="L142" s="35">
        <f t="shared" si="59"/>
        <v>86300.79</v>
      </c>
      <c r="M142" s="35">
        <f t="shared" si="59"/>
        <v>147529.46000000002</v>
      </c>
      <c r="N142" s="35">
        <f t="shared" si="59"/>
        <v>233830.25</v>
      </c>
      <c r="O142" s="35">
        <f t="shared" si="59"/>
        <v>86300.79</v>
      </c>
      <c r="P142" s="35">
        <f t="shared" si="59"/>
        <v>147529.46000000002</v>
      </c>
    </row>
    <row r="143" spans="1:16" hidden="1" x14ac:dyDescent="0.25">
      <c r="E143" s="34"/>
      <c r="F143" s="34"/>
      <c r="G143" s="34">
        <f t="shared" si="54"/>
        <v>0</v>
      </c>
      <c r="H143" s="34"/>
      <c r="I143" s="34"/>
      <c r="J143" s="34">
        <f t="shared" si="50"/>
        <v>0</v>
      </c>
      <c r="K143" s="34"/>
      <c r="L143" s="34"/>
      <c r="M143" s="34">
        <f t="shared" si="51"/>
        <v>0</v>
      </c>
      <c r="N143" s="34">
        <f t="shared" si="55"/>
        <v>0</v>
      </c>
      <c r="O143" s="34">
        <f t="shared" si="56"/>
        <v>0</v>
      </c>
      <c r="P143" s="34">
        <f t="shared" si="57"/>
        <v>0</v>
      </c>
    </row>
    <row r="144" spans="1:16" x14ac:dyDescent="0.25">
      <c r="A144" s="9" t="s">
        <v>103</v>
      </c>
      <c r="B144" s="12" t="str">
        <f>LEFT(A144,5)</f>
        <v xml:space="preserve">S. 1 </v>
      </c>
      <c r="C144" s="103">
        <f t="shared" ref="C144:D144" si="60">C103+C138+C142</f>
        <v>0</v>
      </c>
      <c r="D144" s="99">
        <f t="shared" si="60"/>
        <v>0</v>
      </c>
      <c r="E144" s="35">
        <f>E103+E138+E142</f>
        <v>3378413.59</v>
      </c>
      <c r="F144" s="35">
        <f t="shared" ref="F144:P144" si="61">F103+F138+F142</f>
        <v>1880050.4800000004</v>
      </c>
      <c r="G144" s="35">
        <f t="shared" si="61"/>
        <v>1498363.1099999999</v>
      </c>
      <c r="H144" s="35">
        <f t="shared" si="61"/>
        <v>9315619.2500000019</v>
      </c>
      <c r="I144" s="35">
        <f t="shared" si="61"/>
        <v>2295405.84</v>
      </c>
      <c r="J144" s="35">
        <f t="shared" si="61"/>
        <v>7020213.4100000011</v>
      </c>
      <c r="K144" s="35">
        <f t="shared" si="61"/>
        <v>233830.25</v>
      </c>
      <c r="L144" s="35">
        <f t="shared" si="61"/>
        <v>86300.79</v>
      </c>
      <c r="M144" s="35">
        <f t="shared" si="61"/>
        <v>147529.46000000002</v>
      </c>
      <c r="N144" s="35">
        <f t="shared" si="61"/>
        <v>12927863.090000002</v>
      </c>
      <c r="O144" s="35">
        <f t="shared" si="61"/>
        <v>4261757.1100000003</v>
      </c>
      <c r="P144" s="35">
        <f t="shared" si="61"/>
        <v>8666105.9800000023</v>
      </c>
    </row>
    <row r="145" spans="1:18" x14ac:dyDescent="0.25">
      <c r="E145" s="34"/>
      <c r="F145" s="34"/>
      <c r="G145" s="34">
        <f t="shared" si="54"/>
        <v>0</v>
      </c>
      <c r="H145" s="34"/>
      <c r="I145" s="34"/>
      <c r="J145" s="34">
        <f t="shared" si="50"/>
        <v>0</v>
      </c>
      <c r="K145" s="34"/>
      <c r="L145" s="34"/>
      <c r="M145" s="34">
        <f t="shared" si="51"/>
        <v>0</v>
      </c>
      <c r="N145" s="34">
        <f t="shared" si="55"/>
        <v>0</v>
      </c>
      <c r="O145" s="34">
        <f t="shared" si="56"/>
        <v>0</v>
      </c>
      <c r="P145" s="34"/>
    </row>
    <row r="146" spans="1:18" x14ac:dyDescent="0.25">
      <c r="A146" s="8" t="s">
        <v>104</v>
      </c>
      <c r="B146" s="4" t="str">
        <f>LEFT(A146,4)</f>
        <v>4010</v>
      </c>
      <c r="C146" s="102">
        <f>-592207-139133</f>
        <v>-731340</v>
      </c>
      <c r="D146" s="98">
        <f>-57902-19093</f>
        <v>-76995</v>
      </c>
      <c r="E146" s="34">
        <f>VLOOKUP($B146,Town_Sage!$A$5:$D$399,3,0)</f>
        <v>0</v>
      </c>
      <c r="F146" s="34">
        <f>VLOOKUP($B146,Town_Sage!$A$5:$D$399,4,0)</f>
        <v>635601.51</v>
      </c>
      <c r="G146" s="34">
        <f t="shared" si="54"/>
        <v>-635601.51</v>
      </c>
      <c r="H146" s="34"/>
      <c r="I146" s="34"/>
      <c r="J146" s="34">
        <f t="shared" si="50"/>
        <v>0</v>
      </c>
      <c r="K146" s="34"/>
      <c r="L146" s="34"/>
      <c r="M146" s="34">
        <f t="shared" si="51"/>
        <v>0</v>
      </c>
      <c r="N146" s="34">
        <f t="shared" si="55"/>
        <v>0</v>
      </c>
      <c r="O146" s="34">
        <f t="shared" si="56"/>
        <v>635601.51</v>
      </c>
      <c r="P146" s="34">
        <f t="shared" si="57"/>
        <v>-635601.51</v>
      </c>
      <c r="R146" s="98" t="s">
        <v>2089</v>
      </c>
    </row>
    <row r="147" spans="1:18" x14ac:dyDescent="0.25">
      <c r="A147" s="8" t="s">
        <v>5</v>
      </c>
      <c r="C147" s="103">
        <f t="shared" ref="C147:D147" si="62">C146</f>
        <v>-731340</v>
      </c>
      <c r="D147" s="99">
        <f t="shared" si="62"/>
        <v>-76995</v>
      </c>
      <c r="E147" s="35">
        <f>E146</f>
        <v>0</v>
      </c>
      <c r="F147" s="35">
        <f t="shared" ref="F147:P147" si="63">F146</f>
        <v>635601.51</v>
      </c>
      <c r="G147" s="35">
        <f t="shared" si="63"/>
        <v>-635601.51</v>
      </c>
      <c r="H147" s="35">
        <f t="shared" si="63"/>
        <v>0</v>
      </c>
      <c r="I147" s="35">
        <f t="shared" si="63"/>
        <v>0</v>
      </c>
      <c r="J147" s="35">
        <f t="shared" si="63"/>
        <v>0</v>
      </c>
      <c r="K147" s="35">
        <f t="shared" si="63"/>
        <v>0</v>
      </c>
      <c r="L147" s="35">
        <f t="shared" si="63"/>
        <v>0</v>
      </c>
      <c r="M147" s="35">
        <f t="shared" si="63"/>
        <v>0</v>
      </c>
      <c r="N147" s="35">
        <f t="shared" si="63"/>
        <v>0</v>
      </c>
      <c r="O147" s="35">
        <f t="shared" si="63"/>
        <v>635601.51</v>
      </c>
      <c r="P147" s="35">
        <f t="shared" si="63"/>
        <v>-635601.51</v>
      </c>
    </row>
    <row r="148" spans="1:18" x14ac:dyDescent="0.25">
      <c r="C148" s="104"/>
      <c r="D148" s="100"/>
      <c r="E148" s="34"/>
      <c r="F148" s="34"/>
      <c r="G148" s="34">
        <f t="shared" si="54"/>
        <v>0</v>
      </c>
      <c r="H148" s="34"/>
      <c r="I148" s="34"/>
      <c r="J148" s="34">
        <f t="shared" si="50"/>
        <v>0</v>
      </c>
      <c r="K148" s="34"/>
      <c r="L148" s="34"/>
      <c r="M148" s="34">
        <f t="shared" si="51"/>
        <v>0</v>
      </c>
      <c r="N148" s="34">
        <f t="shared" si="55"/>
        <v>0</v>
      </c>
      <c r="O148" s="34">
        <f t="shared" si="56"/>
        <v>0</v>
      </c>
      <c r="P148" s="34"/>
    </row>
    <row r="149" spans="1:18" x14ac:dyDescent="0.25">
      <c r="A149" s="9" t="s">
        <v>105</v>
      </c>
      <c r="B149" s="12" t="str">
        <f>LEFT(A149,5)</f>
        <v>20. 1</v>
      </c>
      <c r="C149" s="103">
        <f t="shared" ref="C149:D149" si="64">C147</f>
        <v>-731340</v>
      </c>
      <c r="D149" s="99">
        <f t="shared" si="64"/>
        <v>-76995</v>
      </c>
      <c r="E149" s="35">
        <f>E147</f>
        <v>0</v>
      </c>
      <c r="F149" s="35">
        <f t="shared" ref="F149:P149" si="65">F147</f>
        <v>635601.51</v>
      </c>
      <c r="G149" s="35">
        <f t="shared" si="65"/>
        <v>-635601.51</v>
      </c>
      <c r="H149" s="35">
        <f t="shared" si="65"/>
        <v>0</v>
      </c>
      <c r="I149" s="35">
        <f t="shared" si="65"/>
        <v>0</v>
      </c>
      <c r="J149" s="35">
        <f t="shared" si="65"/>
        <v>0</v>
      </c>
      <c r="K149" s="35">
        <f t="shared" si="65"/>
        <v>0</v>
      </c>
      <c r="L149" s="35">
        <f t="shared" si="65"/>
        <v>0</v>
      </c>
      <c r="M149" s="35">
        <f t="shared" si="65"/>
        <v>0</v>
      </c>
      <c r="N149" s="35">
        <f t="shared" si="65"/>
        <v>0</v>
      </c>
      <c r="O149" s="35">
        <f t="shared" si="65"/>
        <v>635601.51</v>
      </c>
      <c r="P149" s="35">
        <f t="shared" si="65"/>
        <v>-635601.51</v>
      </c>
    </row>
    <row r="150" spans="1:18" x14ac:dyDescent="0.25">
      <c r="E150" s="34"/>
      <c r="F150" s="34"/>
      <c r="G150" s="34">
        <f t="shared" si="54"/>
        <v>0</v>
      </c>
      <c r="H150" s="34"/>
      <c r="I150" s="34"/>
      <c r="J150" s="34">
        <f t="shared" si="50"/>
        <v>0</v>
      </c>
      <c r="K150" s="34"/>
      <c r="L150" s="34"/>
      <c r="M150" s="34">
        <f t="shared" si="51"/>
        <v>0</v>
      </c>
      <c r="N150" s="34">
        <f t="shared" si="55"/>
        <v>0</v>
      </c>
      <c r="O150" s="34">
        <f t="shared" si="56"/>
        <v>0</v>
      </c>
      <c r="P150" s="34"/>
    </row>
    <row r="151" spans="1:18" x14ac:dyDescent="0.25">
      <c r="A151" s="8" t="s">
        <v>106</v>
      </c>
      <c r="B151" s="4" t="str">
        <f>LEFT(A151,4)</f>
        <v>4020</v>
      </c>
      <c r="C151" s="102">
        <v>-78013</v>
      </c>
      <c r="D151" s="98">
        <v>-6502</v>
      </c>
      <c r="E151" s="34">
        <f>VLOOKUP($B151,Town_Sage!$A$5:$D$399,3,0)</f>
        <v>0</v>
      </c>
      <c r="F151" s="34">
        <f>VLOOKUP($B151,Town_Sage!$A$5:$D$399,4,0)</f>
        <v>71511.990000000005</v>
      </c>
      <c r="G151" s="34">
        <f t="shared" si="54"/>
        <v>-71511.990000000005</v>
      </c>
      <c r="H151" s="34"/>
      <c r="I151" s="34"/>
      <c r="J151" s="34">
        <f t="shared" si="50"/>
        <v>0</v>
      </c>
      <c r="K151" s="34"/>
      <c r="L151" s="34"/>
      <c r="M151" s="34">
        <f t="shared" si="51"/>
        <v>0</v>
      </c>
      <c r="N151" s="34">
        <f t="shared" si="55"/>
        <v>0</v>
      </c>
      <c r="O151" s="34">
        <f t="shared" si="56"/>
        <v>71511.990000000005</v>
      </c>
      <c r="P151" s="34">
        <f t="shared" si="57"/>
        <v>-71511.990000000005</v>
      </c>
      <c r="R151" s="4" t="s">
        <v>2088</v>
      </c>
    </row>
    <row r="152" spans="1:18" x14ac:dyDescent="0.25">
      <c r="A152" s="8" t="s">
        <v>107</v>
      </c>
      <c r="B152" s="4" t="str">
        <f>LEFT(A152,4)</f>
        <v>4035</v>
      </c>
      <c r="C152" s="102">
        <v>0</v>
      </c>
      <c r="D152" s="98">
        <v>0</v>
      </c>
      <c r="E152" s="34">
        <f>VLOOKUP($B152,Town_Sage!$A$5:$D$399,3,0)</f>
        <v>0</v>
      </c>
      <c r="F152" s="34">
        <f>VLOOKUP($B152,Town_Sage!$A$5:$D$399,4,0)</f>
        <v>0</v>
      </c>
      <c r="G152" s="34">
        <f t="shared" si="54"/>
        <v>0</v>
      </c>
      <c r="H152" s="34"/>
      <c r="I152" s="34"/>
      <c r="J152" s="34">
        <f t="shared" si="50"/>
        <v>0</v>
      </c>
      <c r="K152" s="34"/>
      <c r="L152" s="34"/>
      <c r="M152" s="34">
        <f t="shared" si="51"/>
        <v>0</v>
      </c>
      <c r="N152" s="34">
        <f t="shared" si="55"/>
        <v>0</v>
      </c>
      <c r="O152" s="34">
        <f t="shared" si="56"/>
        <v>0</v>
      </c>
      <c r="P152" s="34">
        <f t="shared" si="57"/>
        <v>0</v>
      </c>
      <c r="R152" s="4" t="s">
        <v>2090</v>
      </c>
    </row>
    <row r="153" spans="1:18" x14ac:dyDescent="0.25">
      <c r="A153" s="8" t="s">
        <v>5</v>
      </c>
      <c r="C153" s="103">
        <f t="shared" ref="C153:D153" si="66">SUM(C151:C152)</f>
        <v>-78013</v>
      </c>
      <c r="D153" s="99">
        <f t="shared" si="66"/>
        <v>-6502</v>
      </c>
      <c r="E153" s="35">
        <f>SUM(E151:E152)</f>
        <v>0</v>
      </c>
      <c r="F153" s="35">
        <f t="shared" ref="F153:P153" si="67">SUM(F151:F152)</f>
        <v>71511.990000000005</v>
      </c>
      <c r="G153" s="35">
        <f t="shared" si="67"/>
        <v>-71511.990000000005</v>
      </c>
      <c r="H153" s="35">
        <f t="shared" si="67"/>
        <v>0</v>
      </c>
      <c r="I153" s="35">
        <f t="shared" si="67"/>
        <v>0</v>
      </c>
      <c r="J153" s="35">
        <f t="shared" si="67"/>
        <v>0</v>
      </c>
      <c r="K153" s="35">
        <f t="shared" si="67"/>
        <v>0</v>
      </c>
      <c r="L153" s="35">
        <f t="shared" si="67"/>
        <v>0</v>
      </c>
      <c r="M153" s="35">
        <f t="shared" si="67"/>
        <v>0</v>
      </c>
      <c r="N153" s="35">
        <f t="shared" si="67"/>
        <v>0</v>
      </c>
      <c r="O153" s="35">
        <f t="shared" si="67"/>
        <v>71511.990000000005</v>
      </c>
      <c r="P153" s="35">
        <f t="shared" si="67"/>
        <v>-71511.990000000005</v>
      </c>
    </row>
    <row r="154" spans="1:18" x14ac:dyDescent="0.25">
      <c r="E154" s="34"/>
      <c r="F154" s="34"/>
      <c r="G154" s="34">
        <f t="shared" si="54"/>
        <v>0</v>
      </c>
      <c r="H154" s="34"/>
      <c r="I154" s="34"/>
      <c r="J154" s="34">
        <f t="shared" si="50"/>
        <v>0</v>
      </c>
      <c r="K154" s="34"/>
      <c r="L154" s="34"/>
      <c r="M154" s="34">
        <f t="shared" si="51"/>
        <v>0</v>
      </c>
      <c r="N154" s="34">
        <f t="shared" si="55"/>
        <v>0</v>
      </c>
      <c r="O154" s="34">
        <f t="shared" si="56"/>
        <v>0</v>
      </c>
      <c r="P154" s="34"/>
    </row>
    <row r="155" spans="1:18" x14ac:dyDescent="0.25">
      <c r="A155" s="9" t="s">
        <v>108</v>
      </c>
      <c r="B155" s="12" t="str">
        <f>LEFT(A155,5)</f>
        <v>20. 2</v>
      </c>
      <c r="C155" s="103">
        <f t="shared" ref="C155:D155" si="68">C153</f>
        <v>-78013</v>
      </c>
      <c r="D155" s="99">
        <f t="shared" si="68"/>
        <v>-6502</v>
      </c>
      <c r="E155" s="35">
        <f>E153</f>
        <v>0</v>
      </c>
      <c r="F155" s="35">
        <f t="shared" ref="F155:P155" si="69">F153</f>
        <v>71511.990000000005</v>
      </c>
      <c r="G155" s="35">
        <f t="shared" si="69"/>
        <v>-71511.990000000005</v>
      </c>
      <c r="H155" s="35">
        <f t="shared" si="69"/>
        <v>0</v>
      </c>
      <c r="I155" s="35">
        <f t="shared" si="69"/>
        <v>0</v>
      </c>
      <c r="J155" s="35">
        <f t="shared" si="69"/>
        <v>0</v>
      </c>
      <c r="K155" s="35">
        <f t="shared" si="69"/>
        <v>0</v>
      </c>
      <c r="L155" s="35">
        <f t="shared" si="69"/>
        <v>0</v>
      </c>
      <c r="M155" s="35">
        <f t="shared" si="69"/>
        <v>0</v>
      </c>
      <c r="N155" s="35">
        <f t="shared" si="69"/>
        <v>0</v>
      </c>
      <c r="O155" s="35">
        <f t="shared" si="69"/>
        <v>71511.990000000005</v>
      </c>
      <c r="P155" s="35">
        <f t="shared" si="69"/>
        <v>-71511.990000000005</v>
      </c>
    </row>
    <row r="156" spans="1:18" x14ac:dyDescent="0.25">
      <c r="E156" s="34"/>
      <c r="F156" s="34"/>
      <c r="G156" s="34">
        <f t="shared" si="54"/>
        <v>0</v>
      </c>
      <c r="H156" s="34"/>
      <c r="I156" s="34"/>
      <c r="J156" s="34">
        <f t="shared" si="50"/>
        <v>0</v>
      </c>
      <c r="K156" s="34"/>
      <c r="L156" s="34"/>
      <c r="M156" s="34">
        <f t="shared" si="51"/>
        <v>0</v>
      </c>
      <c r="N156" s="34">
        <f t="shared" si="55"/>
        <v>0</v>
      </c>
      <c r="O156" s="34">
        <f t="shared" si="56"/>
        <v>0</v>
      </c>
      <c r="P156" s="34"/>
    </row>
    <row r="157" spans="1:18" x14ac:dyDescent="0.25">
      <c r="A157" s="8" t="s">
        <v>109</v>
      </c>
      <c r="B157" s="4" t="str">
        <f>LEFT(A157,4)</f>
        <v>4060</v>
      </c>
      <c r="C157" s="102">
        <v>-5000</v>
      </c>
      <c r="D157" s="98">
        <v>0</v>
      </c>
      <c r="E157" s="34">
        <f>VLOOKUP($B157,Town_Sage!$A$5:$D$399,3,0)</f>
        <v>0</v>
      </c>
      <c r="F157" s="34">
        <f>VLOOKUP($B157,Town_Sage!$A$5:$D$399,4,0)</f>
        <v>5000</v>
      </c>
      <c r="G157" s="34">
        <f t="shared" si="54"/>
        <v>-5000</v>
      </c>
      <c r="H157" s="34"/>
      <c r="I157" s="34"/>
      <c r="J157" s="34">
        <f t="shared" si="50"/>
        <v>0</v>
      </c>
      <c r="K157" s="34"/>
      <c r="L157" s="34"/>
      <c r="M157" s="34">
        <f t="shared" si="51"/>
        <v>0</v>
      </c>
      <c r="N157" s="34">
        <f t="shared" si="55"/>
        <v>0</v>
      </c>
      <c r="O157" s="34">
        <f t="shared" si="56"/>
        <v>5000</v>
      </c>
      <c r="P157" s="34">
        <f t="shared" si="57"/>
        <v>-5000</v>
      </c>
    </row>
    <row r="158" spans="1:18" x14ac:dyDescent="0.25">
      <c r="A158" s="8" t="s">
        <v>110</v>
      </c>
      <c r="B158" s="4" t="str">
        <f>LEFT(A158,4)</f>
        <v>4062</v>
      </c>
      <c r="E158" s="34">
        <f>VLOOKUP($B158,Town_Sage!$A$5:$D$399,3,0)</f>
        <v>0</v>
      </c>
      <c r="F158" s="34">
        <f>VLOOKUP($B158,Town_Sage!$A$5:$D$399,4,0)</f>
        <v>0</v>
      </c>
      <c r="G158" s="34">
        <f t="shared" si="54"/>
        <v>0</v>
      </c>
      <c r="H158" s="34"/>
      <c r="I158" s="34"/>
      <c r="J158" s="34">
        <f t="shared" si="50"/>
        <v>0</v>
      </c>
      <c r="K158" s="34"/>
      <c r="L158" s="34"/>
      <c r="M158" s="34">
        <f t="shared" si="51"/>
        <v>0</v>
      </c>
      <c r="N158" s="34">
        <f t="shared" si="55"/>
        <v>0</v>
      </c>
      <c r="O158" s="34">
        <f t="shared" si="56"/>
        <v>0</v>
      </c>
      <c r="P158" s="34"/>
    </row>
    <row r="159" spans="1:18" x14ac:dyDescent="0.25">
      <c r="A159" s="8" t="s">
        <v>5</v>
      </c>
      <c r="C159" s="103">
        <f t="shared" ref="C159:D159" si="70">SUM(C157:C158)</f>
        <v>-5000</v>
      </c>
      <c r="D159" s="99">
        <f t="shared" si="70"/>
        <v>0</v>
      </c>
      <c r="E159" s="35">
        <f>SUM(E157:E158)</f>
        <v>0</v>
      </c>
      <c r="F159" s="35">
        <f t="shared" ref="F159:P159" si="71">SUM(F157:F158)</f>
        <v>5000</v>
      </c>
      <c r="G159" s="35">
        <f t="shared" si="71"/>
        <v>-5000</v>
      </c>
      <c r="H159" s="35">
        <f t="shared" si="71"/>
        <v>0</v>
      </c>
      <c r="I159" s="35">
        <f t="shared" si="71"/>
        <v>0</v>
      </c>
      <c r="J159" s="35">
        <f t="shared" si="71"/>
        <v>0</v>
      </c>
      <c r="K159" s="35">
        <f t="shared" si="71"/>
        <v>0</v>
      </c>
      <c r="L159" s="35">
        <f t="shared" si="71"/>
        <v>0</v>
      </c>
      <c r="M159" s="35">
        <f t="shared" si="71"/>
        <v>0</v>
      </c>
      <c r="N159" s="35">
        <f t="shared" si="71"/>
        <v>0</v>
      </c>
      <c r="O159" s="35">
        <f t="shared" si="71"/>
        <v>5000</v>
      </c>
      <c r="P159" s="35">
        <f t="shared" si="71"/>
        <v>-5000</v>
      </c>
    </row>
    <row r="160" spans="1:18" x14ac:dyDescent="0.25">
      <c r="C160" s="104"/>
      <c r="D160" s="100"/>
      <c r="E160" s="34"/>
      <c r="F160" s="34"/>
      <c r="G160" s="34">
        <f t="shared" si="54"/>
        <v>0</v>
      </c>
      <c r="H160" s="34"/>
      <c r="I160" s="34"/>
      <c r="J160" s="34">
        <f t="shared" si="50"/>
        <v>0</v>
      </c>
      <c r="K160" s="34"/>
      <c r="L160" s="34"/>
      <c r="M160" s="34">
        <f t="shared" si="51"/>
        <v>0</v>
      </c>
      <c r="N160" s="34">
        <f t="shared" si="55"/>
        <v>0</v>
      </c>
      <c r="O160" s="34">
        <f t="shared" si="56"/>
        <v>0</v>
      </c>
      <c r="P160" s="34"/>
    </row>
    <row r="161" spans="1:21" x14ac:dyDescent="0.25">
      <c r="A161" s="9" t="s">
        <v>111</v>
      </c>
      <c r="B161" s="12" t="str">
        <f>LEFT(A161,5)</f>
        <v>20. 3</v>
      </c>
      <c r="C161" s="103">
        <f t="shared" ref="C161:D161" si="72">C159</f>
        <v>-5000</v>
      </c>
      <c r="D161" s="99">
        <f t="shared" si="72"/>
        <v>0</v>
      </c>
      <c r="E161" s="35">
        <f>E159</f>
        <v>0</v>
      </c>
      <c r="F161" s="35">
        <f t="shared" ref="F161:P161" si="73">F159</f>
        <v>5000</v>
      </c>
      <c r="G161" s="35">
        <f t="shared" si="73"/>
        <v>-5000</v>
      </c>
      <c r="H161" s="35">
        <f t="shared" si="73"/>
        <v>0</v>
      </c>
      <c r="I161" s="35">
        <f t="shared" si="73"/>
        <v>0</v>
      </c>
      <c r="J161" s="35">
        <f t="shared" si="73"/>
        <v>0</v>
      </c>
      <c r="K161" s="35">
        <f t="shared" si="73"/>
        <v>0</v>
      </c>
      <c r="L161" s="35">
        <f t="shared" si="73"/>
        <v>0</v>
      </c>
      <c r="M161" s="35">
        <f t="shared" si="73"/>
        <v>0</v>
      </c>
      <c r="N161" s="35">
        <f t="shared" si="73"/>
        <v>0</v>
      </c>
      <c r="O161" s="35">
        <f t="shared" si="73"/>
        <v>5000</v>
      </c>
      <c r="P161" s="35">
        <f t="shared" si="73"/>
        <v>-5000</v>
      </c>
    </row>
    <row r="162" spans="1:21" x14ac:dyDescent="0.25">
      <c r="E162" s="34"/>
      <c r="F162" s="34"/>
      <c r="G162" s="34">
        <f t="shared" si="54"/>
        <v>0</v>
      </c>
      <c r="H162" s="34"/>
      <c r="I162" s="34"/>
      <c r="J162" s="34">
        <f t="shared" si="50"/>
        <v>0</v>
      </c>
      <c r="K162" s="34"/>
      <c r="L162" s="34"/>
      <c r="M162" s="34">
        <f t="shared" si="51"/>
        <v>0</v>
      </c>
      <c r="N162" s="34">
        <f t="shared" si="55"/>
        <v>0</v>
      </c>
      <c r="O162" s="34">
        <f t="shared" si="56"/>
        <v>0</v>
      </c>
      <c r="P162" s="34"/>
    </row>
    <row r="163" spans="1:21" x14ac:dyDescent="0.25">
      <c r="A163" s="8" t="s">
        <v>112</v>
      </c>
      <c r="B163" s="4" t="str">
        <f>LEFT(A163,4)</f>
        <v>4011</v>
      </c>
      <c r="C163" s="102">
        <v>0</v>
      </c>
      <c r="D163" s="98">
        <v>0</v>
      </c>
      <c r="E163" s="34">
        <f>VLOOKUP($B163,Town_Sage!$A$5:$D$399,3,0)</f>
        <v>0</v>
      </c>
      <c r="F163" s="34">
        <f>VLOOKUP($B163,Town_Sage!$A$5:$D$399,4,0)</f>
        <v>0</v>
      </c>
      <c r="G163" s="34">
        <f t="shared" si="54"/>
        <v>0</v>
      </c>
      <c r="H163" s="34"/>
      <c r="I163" s="34"/>
      <c r="J163" s="34">
        <f t="shared" si="50"/>
        <v>0</v>
      </c>
      <c r="K163" s="34"/>
      <c r="L163" s="34"/>
      <c r="M163" s="34">
        <f t="shared" si="51"/>
        <v>0</v>
      </c>
      <c r="N163" s="34">
        <f t="shared" si="55"/>
        <v>0</v>
      </c>
      <c r="O163" s="34">
        <f t="shared" si="56"/>
        <v>0</v>
      </c>
      <c r="P163" s="34">
        <f t="shared" si="57"/>
        <v>0</v>
      </c>
    </row>
    <row r="164" spans="1:21" x14ac:dyDescent="0.25">
      <c r="A164" s="8" t="s">
        <v>113</v>
      </c>
      <c r="B164" s="4" t="str">
        <f>LEFT(A164,4)</f>
        <v>4030</v>
      </c>
      <c r="C164" s="102">
        <v>-20000</v>
      </c>
      <c r="D164" s="98">
        <v>0</v>
      </c>
      <c r="E164" s="34">
        <f>VLOOKUP($B164,Town_Sage!$A$5:$D$399,3,0)</f>
        <v>0</v>
      </c>
      <c r="F164" s="34">
        <f>VLOOKUP($B164,Town_Sage!$A$5:$D$399,4,0)</f>
        <v>31516.07</v>
      </c>
      <c r="G164" s="34">
        <f t="shared" si="54"/>
        <v>-31516.07</v>
      </c>
      <c r="H164" s="34"/>
      <c r="I164" s="34"/>
      <c r="J164" s="34">
        <f t="shared" si="50"/>
        <v>0</v>
      </c>
      <c r="K164" s="34"/>
      <c r="L164" s="34"/>
      <c r="M164" s="34">
        <f t="shared" si="51"/>
        <v>0</v>
      </c>
      <c r="N164" s="34">
        <f t="shared" si="55"/>
        <v>0</v>
      </c>
      <c r="O164" s="34">
        <f t="shared" si="56"/>
        <v>31516.07</v>
      </c>
      <c r="P164" s="34">
        <f t="shared" si="57"/>
        <v>-31516.07</v>
      </c>
      <c r="R164" s="4" t="s">
        <v>2247</v>
      </c>
      <c r="T164" s="4" t="s">
        <v>2248</v>
      </c>
    </row>
    <row r="165" spans="1:21" x14ac:dyDescent="0.25">
      <c r="A165" s="8" t="s">
        <v>114</v>
      </c>
      <c r="B165" s="4" t="str">
        <f>LEFT(A165,4)</f>
        <v>4045</v>
      </c>
      <c r="C165" s="102">
        <v>-1121</v>
      </c>
      <c r="D165" s="98">
        <v>0</v>
      </c>
      <c r="E165" s="34">
        <f>VLOOKUP($B165,Town_Sage!$A$5:$D$399,3,0)</f>
        <v>0</v>
      </c>
      <c r="F165" s="34">
        <f>VLOOKUP($B165,Town_Sage!$A$5:$D$399,4,0)</f>
        <v>1121</v>
      </c>
      <c r="G165" s="34">
        <f t="shared" si="54"/>
        <v>-1121</v>
      </c>
      <c r="H165" s="34"/>
      <c r="I165" s="34"/>
      <c r="J165" s="34">
        <f t="shared" si="50"/>
        <v>0</v>
      </c>
      <c r="K165" s="34"/>
      <c r="L165" s="34"/>
      <c r="M165" s="34">
        <f t="shared" si="51"/>
        <v>0</v>
      </c>
      <c r="N165" s="34">
        <f t="shared" si="55"/>
        <v>0</v>
      </c>
      <c r="O165" s="34">
        <f t="shared" si="56"/>
        <v>1121</v>
      </c>
      <c r="P165" s="34">
        <f t="shared" si="57"/>
        <v>-1121</v>
      </c>
      <c r="R165" s="4" t="s">
        <v>2250</v>
      </c>
    </row>
    <row r="166" spans="1:21" x14ac:dyDescent="0.25">
      <c r="A166" s="8" t="s">
        <v>115</v>
      </c>
      <c r="B166" s="4" t="str">
        <f>LEFT(A166,4)</f>
        <v>4050</v>
      </c>
      <c r="C166" s="102">
        <v>-7500</v>
      </c>
      <c r="D166" s="98">
        <v>0</v>
      </c>
      <c r="E166" s="34">
        <f>VLOOKUP($B166,Town_Sage!$A$5:$D$399,3,0)</f>
        <v>0</v>
      </c>
      <c r="F166" s="34">
        <f>VLOOKUP($B166,Town_Sage!$A$5:$D$399,4,0)</f>
        <v>7570.16</v>
      </c>
      <c r="G166" s="34">
        <f t="shared" si="54"/>
        <v>-7570.16</v>
      </c>
      <c r="H166" s="34"/>
      <c r="I166" s="34"/>
      <c r="J166" s="34">
        <f t="shared" si="50"/>
        <v>0</v>
      </c>
      <c r="K166" s="34"/>
      <c r="L166" s="34"/>
      <c r="M166" s="34">
        <f t="shared" si="51"/>
        <v>0</v>
      </c>
      <c r="N166" s="34">
        <f t="shared" si="55"/>
        <v>0</v>
      </c>
      <c r="O166" s="34">
        <f t="shared" si="56"/>
        <v>7570.16</v>
      </c>
      <c r="P166" s="34">
        <f t="shared" si="57"/>
        <v>-7570.16</v>
      </c>
      <c r="R166" s="4" t="s">
        <v>2249</v>
      </c>
    </row>
    <row r="167" spans="1:21" x14ac:dyDescent="0.25">
      <c r="A167" s="8" t="s">
        <v>5</v>
      </c>
      <c r="C167" s="103">
        <f t="shared" ref="C167:D167" si="74">SUM(C163:C166)</f>
        <v>-28621</v>
      </c>
      <c r="D167" s="99">
        <f t="shared" si="74"/>
        <v>0</v>
      </c>
      <c r="E167" s="35">
        <f>SUM(E163:E166)</f>
        <v>0</v>
      </c>
      <c r="F167" s="35">
        <f t="shared" ref="F167:P167" si="75">SUM(F163:F166)</f>
        <v>40207.229999999996</v>
      </c>
      <c r="G167" s="35">
        <f t="shared" si="75"/>
        <v>-40207.229999999996</v>
      </c>
      <c r="H167" s="35">
        <f t="shared" si="75"/>
        <v>0</v>
      </c>
      <c r="I167" s="35">
        <f t="shared" si="75"/>
        <v>0</v>
      </c>
      <c r="J167" s="35">
        <f t="shared" si="75"/>
        <v>0</v>
      </c>
      <c r="K167" s="35">
        <f t="shared" si="75"/>
        <v>0</v>
      </c>
      <c r="L167" s="35">
        <f t="shared" si="75"/>
        <v>0</v>
      </c>
      <c r="M167" s="35">
        <f t="shared" si="75"/>
        <v>0</v>
      </c>
      <c r="N167" s="35">
        <f t="shared" si="75"/>
        <v>0</v>
      </c>
      <c r="O167" s="35">
        <f t="shared" si="75"/>
        <v>40207.229999999996</v>
      </c>
      <c r="P167" s="35">
        <f t="shared" si="75"/>
        <v>-40207.229999999996</v>
      </c>
    </row>
    <row r="168" spans="1:21" x14ac:dyDescent="0.25">
      <c r="C168" s="104"/>
      <c r="D168" s="100"/>
      <c r="E168" s="34"/>
      <c r="F168" s="34"/>
      <c r="G168" s="34">
        <f t="shared" si="54"/>
        <v>0</v>
      </c>
      <c r="H168" s="34"/>
      <c r="I168" s="34"/>
      <c r="J168" s="34">
        <f t="shared" si="50"/>
        <v>0</v>
      </c>
      <c r="K168" s="34"/>
      <c r="L168" s="34"/>
      <c r="M168" s="34">
        <f t="shared" si="51"/>
        <v>0</v>
      </c>
      <c r="N168" s="34">
        <f t="shared" si="55"/>
        <v>0</v>
      </c>
      <c r="O168" s="34">
        <f t="shared" si="56"/>
        <v>0</v>
      </c>
      <c r="P168" s="34"/>
    </row>
    <row r="169" spans="1:21" x14ac:dyDescent="0.25">
      <c r="A169" s="9" t="s">
        <v>116</v>
      </c>
      <c r="B169" s="12" t="str">
        <f>LEFT(A169,5)</f>
        <v>20. 4</v>
      </c>
      <c r="C169" s="103">
        <f t="shared" ref="C169:D169" si="76">C167</f>
        <v>-28621</v>
      </c>
      <c r="D169" s="99">
        <f t="shared" si="76"/>
        <v>0</v>
      </c>
      <c r="E169" s="35">
        <f>E167</f>
        <v>0</v>
      </c>
      <c r="F169" s="35">
        <f>F167</f>
        <v>40207.229999999996</v>
      </c>
      <c r="G169" s="35">
        <f t="shared" ref="G169:P169" si="77">G167</f>
        <v>-40207.229999999996</v>
      </c>
      <c r="H169" s="35">
        <f t="shared" si="77"/>
        <v>0</v>
      </c>
      <c r="I169" s="35">
        <f t="shared" si="77"/>
        <v>0</v>
      </c>
      <c r="J169" s="35">
        <f t="shared" si="77"/>
        <v>0</v>
      </c>
      <c r="K169" s="35">
        <f t="shared" si="77"/>
        <v>0</v>
      </c>
      <c r="L169" s="35">
        <f t="shared" si="77"/>
        <v>0</v>
      </c>
      <c r="M169" s="35">
        <f t="shared" si="77"/>
        <v>0</v>
      </c>
      <c r="N169" s="35">
        <f t="shared" si="77"/>
        <v>0</v>
      </c>
      <c r="O169" s="35">
        <f t="shared" si="77"/>
        <v>40207.229999999996</v>
      </c>
      <c r="P169" s="35">
        <f t="shared" si="77"/>
        <v>-40207.229999999996</v>
      </c>
    </row>
    <row r="170" spans="1:21" x14ac:dyDescent="0.25">
      <c r="E170" s="34"/>
      <c r="F170" s="34"/>
      <c r="G170" s="34">
        <f t="shared" si="54"/>
        <v>0</v>
      </c>
      <c r="H170" s="34"/>
      <c r="I170" s="34"/>
      <c r="J170" s="34">
        <f t="shared" si="50"/>
        <v>0</v>
      </c>
      <c r="K170" s="34"/>
      <c r="L170" s="34"/>
      <c r="M170" s="34">
        <f t="shared" si="51"/>
        <v>0</v>
      </c>
      <c r="N170" s="34">
        <f t="shared" si="55"/>
        <v>0</v>
      </c>
      <c r="O170" s="34">
        <f t="shared" si="56"/>
        <v>0</v>
      </c>
      <c r="P170" s="34"/>
    </row>
    <row r="171" spans="1:21" x14ac:dyDescent="0.25">
      <c r="A171" s="8" t="s">
        <v>117</v>
      </c>
      <c r="B171" s="4" t="str">
        <f>LEFT(A171,4)</f>
        <v>4025</v>
      </c>
      <c r="C171" s="105">
        <v>-108500</v>
      </c>
      <c r="D171" s="101"/>
      <c r="E171" s="34">
        <f>VLOOKUP($B171,Town_Sage!$A$5:$D$399,3,0)</f>
        <v>0</v>
      </c>
      <c r="F171" s="34">
        <f>VLOOKUP($B171,Town_Sage!$A$5:$D$399,4,0)</f>
        <v>105067.62</v>
      </c>
      <c r="G171" s="34">
        <f t="shared" si="54"/>
        <v>-105067.62</v>
      </c>
      <c r="H171" s="34"/>
      <c r="I171" s="34"/>
      <c r="J171" s="34">
        <f t="shared" si="50"/>
        <v>0</v>
      </c>
      <c r="K171" s="34"/>
      <c r="L171" s="34"/>
      <c r="M171" s="34">
        <f t="shared" si="51"/>
        <v>0</v>
      </c>
      <c r="N171" s="34">
        <f t="shared" si="55"/>
        <v>0</v>
      </c>
      <c r="O171" s="34">
        <f t="shared" si="56"/>
        <v>105067.62</v>
      </c>
      <c r="P171" s="34">
        <f t="shared" si="57"/>
        <v>-105067.62</v>
      </c>
      <c r="R171" s="4" t="s">
        <v>2251</v>
      </c>
    </row>
    <row r="172" spans="1:21" x14ac:dyDescent="0.25">
      <c r="A172" s="8" t="s">
        <v>118</v>
      </c>
      <c r="B172" s="4" t="str">
        <f>LEFT(A172,4)</f>
        <v>4042</v>
      </c>
      <c r="C172" s="105">
        <v>-17600</v>
      </c>
      <c r="D172" s="98">
        <v>-18702</v>
      </c>
      <c r="E172" s="34">
        <f>VLOOKUP($B172,Town_Sage!$A$5:$D$399,3,0)</f>
        <v>795.85</v>
      </c>
      <c r="F172" s="34">
        <f>VLOOKUP($B172,Town_Sage!$A$5:$D$399,4,0)</f>
        <v>0</v>
      </c>
      <c r="G172" s="34">
        <f t="shared" si="54"/>
        <v>795.85</v>
      </c>
      <c r="H172" s="34"/>
      <c r="I172" s="34"/>
      <c r="J172" s="34">
        <f t="shared" si="50"/>
        <v>0</v>
      </c>
      <c r="K172" s="34"/>
      <c r="L172" s="34"/>
      <c r="M172" s="34">
        <f t="shared" si="51"/>
        <v>0</v>
      </c>
      <c r="N172" s="34">
        <f t="shared" si="55"/>
        <v>795.85</v>
      </c>
      <c r="O172" s="34">
        <f t="shared" si="56"/>
        <v>0</v>
      </c>
      <c r="P172" s="34">
        <f t="shared" si="57"/>
        <v>795.85</v>
      </c>
      <c r="R172" s="4" t="s">
        <v>2092</v>
      </c>
      <c r="U172" s="4">
        <f>203500/1.15*0.1</f>
        <v>17695.652173913048</v>
      </c>
    </row>
    <row r="173" spans="1:21" x14ac:dyDescent="0.25">
      <c r="A173" s="8" t="s">
        <v>119</v>
      </c>
      <c r="B173" s="4" t="str">
        <f>LEFT(A173,4)</f>
        <v>4133</v>
      </c>
      <c r="C173" s="102">
        <v>0</v>
      </c>
      <c r="D173" s="98">
        <v>0</v>
      </c>
      <c r="E173" s="34">
        <f>VLOOKUP($B173,Town_Sage!$A$5:$D$399,3,0)</f>
        <v>0</v>
      </c>
      <c r="F173" s="34">
        <f>VLOOKUP($B173,Town_Sage!$A$5:$D$399,4,0)</f>
        <v>0</v>
      </c>
      <c r="G173" s="34">
        <f t="shared" si="54"/>
        <v>0</v>
      </c>
      <c r="H173" s="34"/>
      <c r="I173" s="34"/>
      <c r="J173" s="34">
        <f t="shared" si="50"/>
        <v>0</v>
      </c>
      <c r="K173" s="34"/>
      <c r="L173" s="34"/>
      <c r="M173" s="34">
        <f t="shared" si="51"/>
        <v>0</v>
      </c>
      <c r="N173" s="34">
        <f t="shared" si="55"/>
        <v>0</v>
      </c>
      <c r="O173" s="34">
        <f t="shared" si="56"/>
        <v>0</v>
      </c>
      <c r="P173" s="34">
        <f t="shared" si="57"/>
        <v>0</v>
      </c>
    </row>
    <row r="174" spans="1:21" x14ac:dyDescent="0.25">
      <c r="A174" s="8" t="s">
        <v>120</v>
      </c>
      <c r="B174" s="4" t="str">
        <f>LEFT(A174,4)</f>
        <v>4300</v>
      </c>
      <c r="C174" s="102">
        <v>0</v>
      </c>
      <c r="D174" s="98">
        <v>0</v>
      </c>
      <c r="E174" s="34">
        <f>VLOOKUP($B174,Town_Sage!$A$5:$D$399,3,0)</f>
        <v>0</v>
      </c>
      <c r="F174" s="34">
        <f>VLOOKUP($B174,Town_Sage!$A$5:$D$399,4,0)</f>
        <v>8435</v>
      </c>
      <c r="G174" s="34">
        <f t="shared" si="54"/>
        <v>-8435</v>
      </c>
      <c r="H174" s="34"/>
      <c r="I174" s="34"/>
      <c r="J174" s="34">
        <f t="shared" si="50"/>
        <v>0</v>
      </c>
      <c r="K174" s="34"/>
      <c r="L174" s="34"/>
      <c r="M174" s="34">
        <f t="shared" si="51"/>
        <v>0</v>
      </c>
      <c r="N174" s="34">
        <f t="shared" si="55"/>
        <v>0</v>
      </c>
      <c r="O174" s="34">
        <f t="shared" si="56"/>
        <v>8435</v>
      </c>
      <c r="P174" s="34">
        <f t="shared" si="57"/>
        <v>-8435</v>
      </c>
      <c r="R174" s="4" t="s">
        <v>2093</v>
      </c>
    </row>
    <row r="175" spans="1:21" x14ac:dyDescent="0.25">
      <c r="A175" s="8" t="s">
        <v>5</v>
      </c>
      <c r="C175" s="103">
        <f t="shared" ref="C175:D175" si="78">SUM(C171:C174)</f>
        <v>-126100</v>
      </c>
      <c r="D175" s="99">
        <f t="shared" si="78"/>
        <v>-18702</v>
      </c>
      <c r="E175" s="35">
        <f>SUM(E171:E174)</f>
        <v>795.85</v>
      </c>
      <c r="F175" s="35">
        <f t="shared" ref="F175:P175" si="79">SUM(F171:F174)</f>
        <v>113502.62</v>
      </c>
      <c r="G175" s="35">
        <f t="shared" si="79"/>
        <v>-112706.76999999999</v>
      </c>
      <c r="H175" s="35">
        <f t="shared" si="79"/>
        <v>0</v>
      </c>
      <c r="I175" s="35">
        <f t="shared" si="79"/>
        <v>0</v>
      </c>
      <c r="J175" s="35">
        <f t="shared" si="79"/>
        <v>0</v>
      </c>
      <c r="K175" s="35">
        <f t="shared" si="79"/>
        <v>0</v>
      </c>
      <c r="L175" s="35">
        <f t="shared" si="79"/>
        <v>0</v>
      </c>
      <c r="M175" s="35">
        <f t="shared" si="79"/>
        <v>0</v>
      </c>
      <c r="N175" s="35">
        <f t="shared" si="79"/>
        <v>795.85</v>
      </c>
      <c r="O175" s="35">
        <f t="shared" si="79"/>
        <v>113502.62</v>
      </c>
      <c r="P175" s="35">
        <f t="shared" si="79"/>
        <v>-112706.76999999999</v>
      </c>
    </row>
    <row r="176" spans="1:21" x14ac:dyDescent="0.25">
      <c r="C176" s="104"/>
      <c r="D176" s="100"/>
      <c r="E176" s="34"/>
      <c r="F176" s="34"/>
      <c r="G176" s="34">
        <f t="shared" si="54"/>
        <v>0</v>
      </c>
      <c r="H176" s="34"/>
      <c r="I176" s="34"/>
      <c r="J176" s="34">
        <f t="shared" si="50"/>
        <v>0</v>
      </c>
      <c r="K176" s="34"/>
      <c r="L176" s="34"/>
      <c r="M176" s="34">
        <f t="shared" si="51"/>
        <v>0</v>
      </c>
      <c r="N176" s="34">
        <f t="shared" si="55"/>
        <v>0</v>
      </c>
      <c r="O176" s="34">
        <f t="shared" si="56"/>
        <v>0</v>
      </c>
      <c r="P176" s="34"/>
    </row>
    <row r="177" spans="1:22" x14ac:dyDescent="0.25">
      <c r="A177" s="9" t="s">
        <v>121</v>
      </c>
      <c r="B177" s="12" t="str">
        <f>LEFT(A177,5)</f>
        <v>20. 5</v>
      </c>
      <c r="C177" s="103">
        <f t="shared" ref="C177:D177" si="80">C175</f>
        <v>-126100</v>
      </c>
      <c r="D177" s="99">
        <f t="shared" si="80"/>
        <v>-18702</v>
      </c>
      <c r="E177" s="35">
        <f>E175</f>
        <v>795.85</v>
      </c>
      <c r="F177" s="35">
        <f t="shared" ref="F177:P177" si="81">F175</f>
        <v>113502.62</v>
      </c>
      <c r="G177" s="35">
        <f t="shared" si="81"/>
        <v>-112706.76999999999</v>
      </c>
      <c r="H177" s="35">
        <f t="shared" si="81"/>
        <v>0</v>
      </c>
      <c r="I177" s="35">
        <f t="shared" si="81"/>
        <v>0</v>
      </c>
      <c r="J177" s="35">
        <f t="shared" si="81"/>
        <v>0</v>
      </c>
      <c r="K177" s="35">
        <f t="shared" si="81"/>
        <v>0</v>
      </c>
      <c r="L177" s="35">
        <f t="shared" si="81"/>
        <v>0</v>
      </c>
      <c r="M177" s="35">
        <f t="shared" si="81"/>
        <v>0</v>
      </c>
      <c r="N177" s="35">
        <f t="shared" si="81"/>
        <v>795.85</v>
      </c>
      <c r="O177" s="35">
        <f t="shared" si="81"/>
        <v>113502.62</v>
      </c>
      <c r="P177" s="35">
        <f t="shared" si="81"/>
        <v>-112706.76999999999</v>
      </c>
    </row>
    <row r="178" spans="1:22" x14ac:dyDescent="0.25">
      <c r="E178" s="34"/>
      <c r="F178" s="34"/>
      <c r="G178" s="34">
        <f t="shared" si="54"/>
        <v>0</v>
      </c>
      <c r="H178" s="34"/>
      <c r="I178" s="34"/>
      <c r="J178" s="34">
        <f t="shared" si="50"/>
        <v>0</v>
      </c>
      <c r="K178" s="34"/>
      <c r="L178" s="34"/>
      <c r="M178" s="34">
        <f t="shared" si="51"/>
        <v>0</v>
      </c>
      <c r="N178" s="34">
        <f t="shared" si="55"/>
        <v>0</v>
      </c>
      <c r="O178" s="34">
        <f t="shared" si="56"/>
        <v>0</v>
      </c>
      <c r="P178" s="34"/>
    </row>
    <row r="179" spans="1:22" x14ac:dyDescent="0.25">
      <c r="A179" s="8" t="s">
        <v>122</v>
      </c>
      <c r="B179" s="4" t="str">
        <f>LEFT(A179,4)</f>
        <v>4061</v>
      </c>
      <c r="C179" s="102">
        <v>0</v>
      </c>
      <c r="D179" s="98">
        <v>0</v>
      </c>
      <c r="E179" s="34">
        <f>VLOOKUP($B179,Town_Sage!$A$5:$D$399,3,0)</f>
        <v>0</v>
      </c>
      <c r="F179" s="34">
        <f>VLOOKUP($B179,Town_Sage!$A$5:$D$399,4,0)</f>
        <v>0</v>
      </c>
      <c r="G179" s="34">
        <f t="shared" si="54"/>
        <v>0</v>
      </c>
      <c r="H179" s="34"/>
      <c r="I179" s="34"/>
      <c r="J179" s="34">
        <f t="shared" si="50"/>
        <v>0</v>
      </c>
      <c r="K179" s="34"/>
      <c r="L179" s="34"/>
      <c r="M179" s="34">
        <f t="shared" si="51"/>
        <v>0</v>
      </c>
      <c r="N179" s="34">
        <f t="shared" si="55"/>
        <v>0</v>
      </c>
      <c r="O179" s="34">
        <f t="shared" si="56"/>
        <v>0</v>
      </c>
      <c r="P179" s="34">
        <f t="shared" si="57"/>
        <v>0</v>
      </c>
      <c r="R179" s="4" t="s">
        <v>2094</v>
      </c>
    </row>
    <row r="180" spans="1:22" x14ac:dyDescent="0.25">
      <c r="A180" s="8" t="s">
        <v>2162</v>
      </c>
      <c r="B180" s="4" t="str">
        <f>LEFT(A180,4)</f>
        <v>4191</v>
      </c>
      <c r="C180" s="102">
        <v>0</v>
      </c>
      <c r="D180" s="101">
        <v>-10500</v>
      </c>
      <c r="E180" s="111">
        <f>VLOOKUP($B180,Town_Sage!$A$5:$D$399,3,0)</f>
        <v>0</v>
      </c>
      <c r="F180" s="111">
        <f>VLOOKUP($B180,Town_Sage!$A$5:$D$399,4,0)</f>
        <v>0</v>
      </c>
      <c r="G180" s="111">
        <f t="shared" ref="G180" si="82">IF(E180&gt;0,E180,-F180)</f>
        <v>0</v>
      </c>
      <c r="H180" s="111"/>
      <c r="I180" s="111"/>
      <c r="J180" s="111">
        <f t="shared" ref="J180" si="83">IF(H180&gt;0,H180,-I180)</f>
        <v>0</v>
      </c>
      <c r="K180" s="111"/>
      <c r="L180" s="111"/>
      <c r="M180" s="111">
        <f t="shared" ref="M180" si="84">IF(K180&gt;0,K180,-L180)</f>
        <v>0</v>
      </c>
      <c r="N180" s="111">
        <f t="shared" ref="N180" si="85">E180+H180+K180</f>
        <v>0</v>
      </c>
      <c r="O180" s="111">
        <f t="shared" ref="O180" si="86">F180+I180+L180</f>
        <v>0</v>
      </c>
      <c r="P180" s="191">
        <f t="shared" ref="P180" si="87">IF(N180&gt;0,N180,-O180)</f>
        <v>0</v>
      </c>
      <c r="R180" s="4" t="s">
        <v>2163</v>
      </c>
    </row>
    <row r="181" spans="1:22" x14ac:dyDescent="0.25">
      <c r="A181" s="8" t="s">
        <v>123</v>
      </c>
      <c r="B181" s="4" t="str">
        <f>LEFT(A181,4)</f>
        <v>4192</v>
      </c>
      <c r="C181" s="102">
        <v>-15000</v>
      </c>
      <c r="D181" s="98">
        <v>0</v>
      </c>
      <c r="E181" s="34">
        <f>VLOOKUP($B181,Town_Sage!$A$5:$D$399,3,0)</f>
        <v>0</v>
      </c>
      <c r="F181" s="34">
        <f>VLOOKUP($B181,Town_Sage!$A$5:$D$399,4,0)</f>
        <v>17327.650000000001</v>
      </c>
      <c r="G181" s="34">
        <f t="shared" si="54"/>
        <v>-17327.650000000001</v>
      </c>
      <c r="H181" s="34"/>
      <c r="I181" s="34"/>
      <c r="J181" s="34">
        <f t="shared" si="50"/>
        <v>0</v>
      </c>
      <c r="K181" s="34"/>
      <c r="L181" s="34"/>
      <c r="M181" s="34">
        <f t="shared" si="51"/>
        <v>0</v>
      </c>
      <c r="N181" s="34">
        <f t="shared" si="55"/>
        <v>0</v>
      </c>
      <c r="O181" s="34">
        <f t="shared" si="56"/>
        <v>17327.650000000001</v>
      </c>
      <c r="P181" s="34">
        <f t="shared" si="57"/>
        <v>-17327.650000000001</v>
      </c>
      <c r="R181" s="4" t="s">
        <v>2253</v>
      </c>
    </row>
    <row r="182" spans="1:22" x14ac:dyDescent="0.25">
      <c r="A182" s="8" t="s">
        <v>124</v>
      </c>
      <c r="B182" s="4" t="str">
        <f>LEFT(A182,4)</f>
        <v>4193</v>
      </c>
      <c r="C182" s="102">
        <v>-500</v>
      </c>
      <c r="D182" s="98">
        <v>2000</v>
      </c>
      <c r="E182" s="34">
        <f>VLOOKUP($B182,Town_Sage!$A$5:$D$399,3,0)</f>
        <v>0</v>
      </c>
      <c r="F182" s="34">
        <f>VLOOKUP($B182,Town_Sage!$A$5:$D$399,4,0)</f>
        <v>9046.1200000000008</v>
      </c>
      <c r="G182" s="34">
        <f t="shared" si="54"/>
        <v>-9046.1200000000008</v>
      </c>
      <c r="H182" s="34"/>
      <c r="I182" s="34"/>
      <c r="J182" s="34">
        <f t="shared" si="50"/>
        <v>0</v>
      </c>
      <c r="K182" s="34"/>
      <c r="L182" s="34"/>
      <c r="M182" s="34">
        <f t="shared" si="51"/>
        <v>0</v>
      </c>
      <c r="N182" s="34">
        <f t="shared" si="55"/>
        <v>0</v>
      </c>
      <c r="O182" s="34">
        <f t="shared" si="56"/>
        <v>9046.1200000000008</v>
      </c>
      <c r="P182" s="34">
        <f t="shared" si="57"/>
        <v>-9046.1200000000008</v>
      </c>
      <c r="R182" s="4" t="s">
        <v>2258</v>
      </c>
      <c r="U182" s="86" t="s">
        <v>2254</v>
      </c>
      <c r="V182" s="86"/>
    </row>
    <row r="183" spans="1:22" x14ac:dyDescent="0.25">
      <c r="A183" s="8" t="s">
        <v>5</v>
      </c>
      <c r="C183" s="103">
        <f t="shared" ref="C183:D183" si="88">SUM(C179:C182)</f>
        <v>-15500</v>
      </c>
      <c r="D183" s="99">
        <f t="shared" si="88"/>
        <v>-8500</v>
      </c>
      <c r="E183" s="35">
        <f>SUM(E179:E182)</f>
        <v>0</v>
      </c>
      <c r="F183" s="35">
        <f t="shared" ref="F183:P183" si="89">SUM(F179:F182)</f>
        <v>26373.770000000004</v>
      </c>
      <c r="G183" s="35">
        <f t="shared" si="89"/>
        <v>-26373.770000000004</v>
      </c>
      <c r="H183" s="35">
        <f t="shared" si="89"/>
        <v>0</v>
      </c>
      <c r="I183" s="35">
        <f t="shared" si="89"/>
        <v>0</v>
      </c>
      <c r="J183" s="35">
        <f t="shared" si="89"/>
        <v>0</v>
      </c>
      <c r="K183" s="35">
        <f t="shared" si="89"/>
        <v>0</v>
      </c>
      <c r="L183" s="35">
        <f t="shared" si="89"/>
        <v>0</v>
      </c>
      <c r="M183" s="35">
        <f t="shared" si="89"/>
        <v>0</v>
      </c>
      <c r="N183" s="35">
        <f t="shared" si="89"/>
        <v>0</v>
      </c>
      <c r="O183" s="35">
        <f t="shared" si="89"/>
        <v>26373.770000000004</v>
      </c>
      <c r="P183" s="35">
        <f t="shared" si="89"/>
        <v>-26373.770000000004</v>
      </c>
      <c r="S183" s="4" t="s">
        <v>2255</v>
      </c>
    </row>
    <row r="184" spans="1:22" x14ac:dyDescent="0.25">
      <c r="C184" s="104"/>
      <c r="D184" s="100"/>
      <c r="E184" s="34"/>
      <c r="F184" s="34"/>
      <c r="G184" s="34">
        <f t="shared" si="54"/>
        <v>0</v>
      </c>
      <c r="H184" s="34"/>
      <c r="I184" s="34"/>
      <c r="J184" s="34">
        <f t="shared" si="50"/>
        <v>0</v>
      </c>
      <c r="K184" s="34"/>
      <c r="L184" s="34"/>
      <c r="M184" s="34">
        <f t="shared" si="51"/>
        <v>0</v>
      </c>
      <c r="N184" s="34">
        <f t="shared" si="55"/>
        <v>0</v>
      </c>
      <c r="O184" s="34">
        <f t="shared" si="56"/>
        <v>0</v>
      </c>
      <c r="P184" s="34"/>
    </row>
    <row r="185" spans="1:22" x14ac:dyDescent="0.25">
      <c r="A185" s="9" t="s">
        <v>125</v>
      </c>
      <c r="B185" s="12" t="str">
        <f>LEFT(A185,5)</f>
        <v>20. 6</v>
      </c>
      <c r="C185" s="103">
        <f t="shared" ref="C185:D185" si="90">C183</f>
        <v>-15500</v>
      </c>
      <c r="D185" s="99">
        <f t="shared" si="90"/>
        <v>-8500</v>
      </c>
      <c r="E185" s="35">
        <f>E183</f>
        <v>0</v>
      </c>
      <c r="F185" s="35">
        <f t="shared" ref="F185:P185" si="91">F183</f>
        <v>26373.770000000004</v>
      </c>
      <c r="G185" s="35">
        <f t="shared" si="91"/>
        <v>-26373.770000000004</v>
      </c>
      <c r="H185" s="35">
        <f t="shared" si="91"/>
        <v>0</v>
      </c>
      <c r="I185" s="35">
        <f t="shared" si="91"/>
        <v>0</v>
      </c>
      <c r="J185" s="35">
        <f t="shared" si="91"/>
        <v>0</v>
      </c>
      <c r="K185" s="35">
        <f t="shared" si="91"/>
        <v>0</v>
      </c>
      <c r="L185" s="35">
        <f t="shared" si="91"/>
        <v>0</v>
      </c>
      <c r="M185" s="35">
        <f t="shared" si="91"/>
        <v>0</v>
      </c>
      <c r="N185" s="35">
        <f t="shared" si="91"/>
        <v>0</v>
      </c>
      <c r="O185" s="35">
        <f t="shared" si="91"/>
        <v>26373.770000000004</v>
      </c>
      <c r="P185" s="35">
        <f t="shared" si="91"/>
        <v>-26373.770000000004</v>
      </c>
    </row>
    <row r="186" spans="1:22" x14ac:dyDescent="0.25">
      <c r="E186" s="34"/>
      <c r="F186" s="34"/>
      <c r="G186" s="34">
        <f t="shared" si="54"/>
        <v>0</v>
      </c>
      <c r="H186" s="34"/>
      <c r="I186" s="34"/>
      <c r="J186" s="34">
        <f t="shared" si="50"/>
        <v>0</v>
      </c>
      <c r="K186" s="34"/>
      <c r="L186" s="34"/>
      <c r="M186" s="34">
        <f t="shared" si="51"/>
        <v>0</v>
      </c>
      <c r="N186" s="34">
        <f t="shared" si="55"/>
        <v>0</v>
      </c>
      <c r="O186" s="34">
        <f t="shared" si="56"/>
        <v>0</v>
      </c>
      <c r="P186" s="34"/>
    </row>
    <row r="187" spans="1:22" x14ac:dyDescent="0.25">
      <c r="A187" s="8" t="s">
        <v>126</v>
      </c>
      <c r="B187" s="4" t="str">
        <f>LEFT(A187,4)</f>
        <v>4180</v>
      </c>
      <c r="C187" s="102">
        <v>-40000</v>
      </c>
      <c r="D187" s="98">
        <f>-9807-5000</f>
        <v>-14807</v>
      </c>
      <c r="E187" s="34">
        <f>VLOOKUP($B187,Town_Sage!$A$5:$D$399,3,0)</f>
        <v>0</v>
      </c>
      <c r="F187" s="34">
        <f>VLOOKUP($B187,Town_Sage!$A$5:$D$399,4,0)</f>
        <v>25192.6</v>
      </c>
      <c r="G187" s="34">
        <f t="shared" si="54"/>
        <v>-25192.6</v>
      </c>
      <c r="H187" s="34"/>
      <c r="I187" s="34"/>
      <c r="J187" s="34">
        <f t="shared" si="50"/>
        <v>0</v>
      </c>
      <c r="K187" s="34"/>
      <c r="L187" s="34"/>
      <c r="M187" s="34">
        <f t="shared" si="51"/>
        <v>0</v>
      </c>
      <c r="N187" s="34">
        <f t="shared" si="55"/>
        <v>0</v>
      </c>
      <c r="O187" s="34">
        <f t="shared" si="56"/>
        <v>25192.6</v>
      </c>
      <c r="P187" s="34">
        <f t="shared" si="57"/>
        <v>-25192.6</v>
      </c>
      <c r="R187" s="4" t="s">
        <v>2095</v>
      </c>
      <c r="T187" s="4" t="s">
        <v>2161</v>
      </c>
    </row>
    <row r="188" spans="1:22" x14ac:dyDescent="0.25">
      <c r="A188" s="8" t="s">
        <v>127</v>
      </c>
      <c r="B188" s="4" t="str">
        <f>LEFT(A188,4)</f>
        <v>4190</v>
      </c>
      <c r="C188" s="102">
        <v>-25000</v>
      </c>
      <c r="D188" s="98">
        <v>0</v>
      </c>
      <c r="E188" s="34">
        <f>VLOOKUP($B188,Town_Sage!$A$5:$D$399,3,0)</f>
        <v>0</v>
      </c>
      <c r="F188" s="34">
        <f>VLOOKUP($B188,Town_Sage!$A$5:$D$399,4,0)</f>
        <v>24352.720000000001</v>
      </c>
      <c r="G188" s="34">
        <f t="shared" si="54"/>
        <v>-24352.720000000001</v>
      </c>
      <c r="H188" s="34"/>
      <c r="I188" s="34"/>
      <c r="J188" s="34">
        <f t="shared" si="50"/>
        <v>0</v>
      </c>
      <c r="K188" s="34"/>
      <c r="L188" s="34"/>
      <c r="M188" s="34">
        <f t="shared" si="51"/>
        <v>0</v>
      </c>
      <c r="N188" s="34">
        <f t="shared" si="55"/>
        <v>0</v>
      </c>
      <c r="O188" s="34">
        <f t="shared" si="56"/>
        <v>24352.720000000001</v>
      </c>
      <c r="P188" s="34">
        <f t="shared" si="57"/>
        <v>-24352.720000000001</v>
      </c>
      <c r="R188" s="4">
        <v>-35000</v>
      </c>
      <c r="S188" s="142">
        <f>R188-P187</f>
        <v>-9807.4000000000015</v>
      </c>
      <c r="T188" s="4" t="s">
        <v>2245</v>
      </c>
    </row>
    <row r="189" spans="1:22" x14ac:dyDescent="0.25">
      <c r="A189" s="8" t="s">
        <v>5</v>
      </c>
      <c r="C189" s="103">
        <f t="shared" ref="C189:P189" si="92">SUM(C187:C188)</f>
        <v>-65000</v>
      </c>
      <c r="D189" s="99">
        <f t="shared" si="92"/>
        <v>-14807</v>
      </c>
      <c r="E189" s="35">
        <f t="shared" si="92"/>
        <v>0</v>
      </c>
      <c r="F189" s="35">
        <f t="shared" si="92"/>
        <v>49545.32</v>
      </c>
      <c r="G189" s="35">
        <f t="shared" si="92"/>
        <v>-49545.32</v>
      </c>
      <c r="H189" s="35">
        <f t="shared" si="92"/>
        <v>0</v>
      </c>
      <c r="I189" s="35">
        <f t="shared" si="92"/>
        <v>0</v>
      </c>
      <c r="J189" s="35">
        <f t="shared" si="92"/>
        <v>0</v>
      </c>
      <c r="K189" s="35">
        <f t="shared" si="92"/>
        <v>0</v>
      </c>
      <c r="L189" s="35">
        <f t="shared" si="92"/>
        <v>0</v>
      </c>
      <c r="M189" s="35">
        <f t="shared" si="92"/>
        <v>0</v>
      </c>
      <c r="N189" s="35">
        <f t="shared" si="92"/>
        <v>0</v>
      </c>
      <c r="O189" s="35">
        <f t="shared" si="92"/>
        <v>49545.32</v>
      </c>
      <c r="P189" s="35">
        <f t="shared" si="92"/>
        <v>-49545.32</v>
      </c>
    </row>
    <row r="190" spans="1:22" x14ac:dyDescent="0.25">
      <c r="C190" s="104"/>
      <c r="D190" s="100"/>
      <c r="E190" s="34"/>
      <c r="F190" s="34"/>
      <c r="G190" s="34">
        <f t="shared" si="54"/>
        <v>0</v>
      </c>
      <c r="H190" s="34"/>
      <c r="I190" s="34"/>
      <c r="J190" s="34">
        <f t="shared" si="50"/>
        <v>0</v>
      </c>
      <c r="K190" s="34"/>
      <c r="L190" s="34"/>
      <c r="M190" s="34">
        <f t="shared" si="51"/>
        <v>0</v>
      </c>
      <c r="N190" s="34">
        <f t="shared" si="55"/>
        <v>0</v>
      </c>
      <c r="O190" s="34">
        <f t="shared" si="56"/>
        <v>0</v>
      </c>
      <c r="P190" s="34"/>
    </row>
    <row r="191" spans="1:22" x14ac:dyDescent="0.25">
      <c r="A191" s="9" t="s">
        <v>128</v>
      </c>
      <c r="B191" s="12" t="str">
        <f>LEFT(A191,5)</f>
        <v>20. 8</v>
      </c>
      <c r="C191" s="103">
        <f t="shared" ref="C191:D191" si="93">C189</f>
        <v>-65000</v>
      </c>
      <c r="D191" s="99">
        <f t="shared" si="93"/>
        <v>-14807</v>
      </c>
      <c r="E191" s="35">
        <f>E189</f>
        <v>0</v>
      </c>
      <c r="F191" s="35">
        <f t="shared" ref="F191:P191" si="94">F189</f>
        <v>49545.32</v>
      </c>
      <c r="G191" s="35">
        <f t="shared" si="94"/>
        <v>-49545.32</v>
      </c>
      <c r="H191" s="35">
        <f t="shared" si="94"/>
        <v>0</v>
      </c>
      <c r="I191" s="35">
        <f t="shared" si="94"/>
        <v>0</v>
      </c>
      <c r="J191" s="35">
        <f t="shared" si="94"/>
        <v>0</v>
      </c>
      <c r="K191" s="35">
        <f t="shared" si="94"/>
        <v>0</v>
      </c>
      <c r="L191" s="35">
        <f t="shared" si="94"/>
        <v>0</v>
      </c>
      <c r="M191" s="35">
        <f t="shared" si="94"/>
        <v>0</v>
      </c>
      <c r="N191" s="35">
        <f t="shared" si="94"/>
        <v>0</v>
      </c>
      <c r="O191" s="35">
        <f t="shared" si="94"/>
        <v>49545.32</v>
      </c>
      <c r="P191" s="35">
        <f t="shared" si="94"/>
        <v>-49545.32</v>
      </c>
    </row>
    <row r="192" spans="1:22" x14ac:dyDescent="0.25">
      <c r="E192" s="34"/>
      <c r="F192" s="34"/>
      <c r="G192" s="34">
        <f t="shared" si="54"/>
        <v>0</v>
      </c>
      <c r="H192" s="34"/>
      <c r="I192" s="34"/>
      <c r="J192" s="34">
        <f t="shared" si="50"/>
        <v>0</v>
      </c>
      <c r="K192" s="34"/>
      <c r="L192" s="34"/>
      <c r="M192" s="34">
        <f t="shared" si="51"/>
        <v>0</v>
      </c>
      <c r="N192" s="34">
        <f t="shared" si="55"/>
        <v>0</v>
      </c>
      <c r="O192" s="34">
        <f t="shared" si="56"/>
        <v>0</v>
      </c>
      <c r="P192" s="34"/>
    </row>
    <row r="193" spans="1:18" x14ac:dyDescent="0.25">
      <c r="A193" s="8" t="s">
        <v>129</v>
      </c>
      <c r="B193" s="4" t="str">
        <f>LEFT(A193,4)</f>
        <v>4160</v>
      </c>
      <c r="C193" s="102">
        <v>-6000</v>
      </c>
      <c r="D193" s="98">
        <v>-400</v>
      </c>
      <c r="E193" s="34">
        <f>VLOOKUP($B193,Town_Sage!$A$5:$D$399,3,0)</f>
        <v>0</v>
      </c>
      <c r="F193" s="34">
        <f>VLOOKUP($B193,Town_Sage!$A$5:$D$399,4,0)</f>
        <v>5646.49</v>
      </c>
      <c r="G193" s="34">
        <f t="shared" si="54"/>
        <v>-5646.49</v>
      </c>
      <c r="H193" s="34"/>
      <c r="I193" s="34"/>
      <c r="J193" s="34">
        <f t="shared" si="50"/>
        <v>0</v>
      </c>
      <c r="K193" s="34"/>
      <c r="L193" s="34"/>
      <c r="M193" s="34">
        <f t="shared" si="51"/>
        <v>0</v>
      </c>
      <c r="N193" s="34">
        <f t="shared" si="55"/>
        <v>0</v>
      </c>
      <c r="O193" s="34">
        <f t="shared" si="56"/>
        <v>5646.49</v>
      </c>
      <c r="P193" s="34">
        <f t="shared" si="57"/>
        <v>-5646.49</v>
      </c>
    </row>
    <row r="194" spans="1:18" x14ac:dyDescent="0.25">
      <c r="A194" s="8" t="s">
        <v>130</v>
      </c>
      <c r="B194" s="4" t="str">
        <f>LEFT(A194,4)</f>
        <v>4203</v>
      </c>
      <c r="E194" s="34">
        <f>VLOOKUP($B194,Town_Sage!$A$5:$D$399,3,0)</f>
        <v>0</v>
      </c>
      <c r="F194" s="34">
        <f>VLOOKUP($B194,Town_Sage!$A$5:$D$399,4,0)</f>
        <v>0</v>
      </c>
      <c r="G194" s="34">
        <f t="shared" si="54"/>
        <v>0</v>
      </c>
      <c r="H194" s="34"/>
      <c r="I194" s="34"/>
      <c r="J194" s="34">
        <f t="shared" si="50"/>
        <v>0</v>
      </c>
      <c r="K194" s="34"/>
      <c r="L194" s="34"/>
      <c r="M194" s="34">
        <f t="shared" si="51"/>
        <v>0</v>
      </c>
      <c r="N194" s="34">
        <f t="shared" si="55"/>
        <v>0</v>
      </c>
      <c r="O194" s="34">
        <f t="shared" si="56"/>
        <v>0</v>
      </c>
      <c r="P194" s="34"/>
    </row>
    <row r="195" spans="1:18" x14ac:dyDescent="0.25">
      <c r="A195" s="8" t="s">
        <v>5</v>
      </c>
      <c r="C195" s="103">
        <f t="shared" ref="C195:D195" si="95">SUM(C193:C194)</f>
        <v>-6000</v>
      </c>
      <c r="D195" s="99">
        <f t="shared" si="95"/>
        <v>-400</v>
      </c>
      <c r="E195" s="35">
        <f>SUM(E193:E194)</f>
        <v>0</v>
      </c>
      <c r="F195" s="35">
        <f t="shared" ref="F195:P195" si="96">SUM(F193:F194)</f>
        <v>5646.49</v>
      </c>
      <c r="G195" s="35">
        <f t="shared" si="96"/>
        <v>-5646.49</v>
      </c>
      <c r="H195" s="35">
        <f t="shared" si="96"/>
        <v>0</v>
      </c>
      <c r="I195" s="35">
        <f t="shared" si="96"/>
        <v>0</v>
      </c>
      <c r="J195" s="35">
        <f t="shared" si="96"/>
        <v>0</v>
      </c>
      <c r="K195" s="35">
        <f t="shared" si="96"/>
        <v>0</v>
      </c>
      <c r="L195" s="35">
        <f t="shared" si="96"/>
        <v>0</v>
      </c>
      <c r="M195" s="35">
        <f t="shared" si="96"/>
        <v>0</v>
      </c>
      <c r="N195" s="35">
        <f t="shared" si="96"/>
        <v>0</v>
      </c>
      <c r="O195" s="35">
        <f t="shared" si="96"/>
        <v>5646.49</v>
      </c>
      <c r="P195" s="35">
        <f t="shared" si="96"/>
        <v>-5646.49</v>
      </c>
    </row>
    <row r="196" spans="1:18" x14ac:dyDescent="0.25">
      <c r="C196" s="104"/>
      <c r="D196" s="100"/>
      <c r="E196" s="34"/>
      <c r="F196" s="34"/>
      <c r="G196" s="34">
        <f t="shared" si="54"/>
        <v>0</v>
      </c>
      <c r="H196" s="34"/>
      <c r="I196" s="34"/>
      <c r="J196" s="34">
        <f t="shared" si="50"/>
        <v>0</v>
      </c>
      <c r="K196" s="34"/>
      <c r="L196" s="34"/>
      <c r="M196" s="34">
        <f t="shared" si="51"/>
        <v>0</v>
      </c>
      <c r="N196" s="34">
        <f t="shared" si="55"/>
        <v>0</v>
      </c>
      <c r="O196" s="34">
        <f t="shared" si="56"/>
        <v>0</v>
      </c>
      <c r="P196" s="34"/>
    </row>
    <row r="197" spans="1:18" x14ac:dyDescent="0.25">
      <c r="A197" s="9" t="s">
        <v>131</v>
      </c>
      <c r="B197" s="12" t="str">
        <f>LEFT(A197,5)</f>
        <v>20. 9</v>
      </c>
      <c r="C197" s="103">
        <f t="shared" ref="C197:D197" si="97">C195</f>
        <v>-6000</v>
      </c>
      <c r="D197" s="99">
        <f t="shared" si="97"/>
        <v>-400</v>
      </c>
      <c r="E197" s="35">
        <f>E195</f>
        <v>0</v>
      </c>
      <c r="F197" s="35">
        <f t="shared" ref="F197:P197" si="98">F195</f>
        <v>5646.49</v>
      </c>
      <c r="G197" s="35">
        <f t="shared" si="98"/>
        <v>-5646.49</v>
      </c>
      <c r="H197" s="35">
        <f t="shared" si="98"/>
        <v>0</v>
      </c>
      <c r="I197" s="35">
        <f t="shared" si="98"/>
        <v>0</v>
      </c>
      <c r="J197" s="35">
        <f t="shared" si="98"/>
        <v>0</v>
      </c>
      <c r="K197" s="35">
        <f t="shared" si="98"/>
        <v>0</v>
      </c>
      <c r="L197" s="35">
        <f t="shared" si="98"/>
        <v>0</v>
      </c>
      <c r="M197" s="35">
        <f t="shared" si="98"/>
        <v>0</v>
      </c>
      <c r="N197" s="35">
        <f t="shared" si="98"/>
        <v>0</v>
      </c>
      <c r="O197" s="35">
        <f t="shared" si="98"/>
        <v>5646.49</v>
      </c>
      <c r="P197" s="35">
        <f t="shared" si="98"/>
        <v>-5646.49</v>
      </c>
    </row>
    <row r="198" spans="1:18" x14ac:dyDescent="0.25">
      <c r="E198" s="34"/>
      <c r="F198" s="34"/>
      <c r="G198" s="34">
        <f t="shared" si="54"/>
        <v>0</v>
      </c>
      <c r="H198" s="34"/>
      <c r="I198" s="34"/>
      <c r="J198" s="34">
        <f t="shared" si="50"/>
        <v>0</v>
      </c>
      <c r="K198" s="34"/>
      <c r="L198" s="34"/>
      <c r="M198" s="34">
        <f t="shared" si="51"/>
        <v>0</v>
      </c>
      <c r="N198" s="34">
        <f t="shared" si="55"/>
        <v>0</v>
      </c>
      <c r="O198" s="34">
        <f t="shared" si="56"/>
        <v>0</v>
      </c>
      <c r="P198" s="34"/>
    </row>
    <row r="199" spans="1:18" x14ac:dyDescent="0.25">
      <c r="A199" s="8" t="s">
        <v>132</v>
      </c>
      <c r="B199" s="4" t="str">
        <f>LEFT(A199,4)</f>
        <v>4204</v>
      </c>
      <c r="C199" s="102">
        <v>-2500</v>
      </c>
      <c r="D199" s="98">
        <v>-300</v>
      </c>
      <c r="E199" s="34">
        <f>VLOOKUP($B199,Town_Sage!$A$5:$D$399,3,0)</f>
        <v>0</v>
      </c>
      <c r="F199" s="34">
        <f>VLOOKUP($B199,Town_Sage!$A$5:$D$399,4,0)</f>
        <v>2050</v>
      </c>
      <c r="G199" s="34">
        <f t="shared" si="54"/>
        <v>-2050</v>
      </c>
      <c r="H199" s="34"/>
      <c r="I199" s="34"/>
      <c r="J199" s="34">
        <f t="shared" si="50"/>
        <v>0</v>
      </c>
      <c r="K199" s="34"/>
      <c r="L199" s="34"/>
      <c r="M199" s="34">
        <f t="shared" si="51"/>
        <v>0</v>
      </c>
      <c r="N199" s="34">
        <f t="shared" si="55"/>
        <v>0</v>
      </c>
      <c r="O199" s="34">
        <f t="shared" si="56"/>
        <v>2050</v>
      </c>
      <c r="P199" s="34">
        <f t="shared" si="57"/>
        <v>-2050</v>
      </c>
    </row>
    <row r="200" spans="1:18" x14ac:dyDescent="0.25">
      <c r="A200" s="8" t="s">
        <v>133</v>
      </c>
      <c r="B200" s="4" t="str">
        <f>LEFT(A200,4)</f>
        <v>4210</v>
      </c>
      <c r="C200" s="102">
        <v>-1000</v>
      </c>
      <c r="D200" s="98">
        <v>0</v>
      </c>
      <c r="E200" s="34">
        <f>VLOOKUP($B200,Town_Sage!$A$5:$D$399,3,0)</f>
        <v>0</v>
      </c>
      <c r="F200" s="34">
        <f>VLOOKUP($B200,Town_Sage!$A$5:$D$399,4,0)</f>
        <v>1000</v>
      </c>
      <c r="G200" s="34">
        <f t="shared" si="54"/>
        <v>-1000</v>
      </c>
      <c r="H200" s="34"/>
      <c r="I200" s="34"/>
      <c r="J200" s="34">
        <f t="shared" si="50"/>
        <v>0</v>
      </c>
      <c r="K200" s="34"/>
      <c r="L200" s="34"/>
      <c r="M200" s="34">
        <f t="shared" si="51"/>
        <v>0</v>
      </c>
      <c r="N200" s="34">
        <f t="shared" si="55"/>
        <v>0</v>
      </c>
      <c r="O200" s="34">
        <f t="shared" si="56"/>
        <v>1000</v>
      </c>
      <c r="P200" s="34">
        <f t="shared" si="57"/>
        <v>-1000</v>
      </c>
    </row>
    <row r="201" spans="1:18" x14ac:dyDescent="0.25">
      <c r="A201" s="8" t="s">
        <v>134</v>
      </c>
      <c r="B201" s="4" t="str">
        <f>LEFT(A201,4)</f>
        <v>4211</v>
      </c>
      <c r="C201" s="102">
        <v>0</v>
      </c>
      <c r="D201" s="98">
        <v>0</v>
      </c>
      <c r="E201" s="34">
        <f>VLOOKUP($B201,Town_Sage!$A$5:$D$399,3,0)</f>
        <v>0</v>
      </c>
      <c r="F201" s="34">
        <f>VLOOKUP($B201,Town_Sage!$A$5:$D$399,4,0)</f>
        <v>0</v>
      </c>
      <c r="G201" s="34">
        <f t="shared" si="54"/>
        <v>0</v>
      </c>
      <c r="H201" s="34"/>
      <c r="I201" s="34"/>
      <c r="J201" s="34">
        <f t="shared" si="50"/>
        <v>0</v>
      </c>
      <c r="K201" s="34"/>
      <c r="L201" s="34"/>
      <c r="M201" s="34">
        <f t="shared" si="51"/>
        <v>0</v>
      </c>
      <c r="N201" s="34">
        <f t="shared" si="55"/>
        <v>0</v>
      </c>
      <c r="O201" s="34">
        <f t="shared" si="56"/>
        <v>0</v>
      </c>
      <c r="P201" s="34">
        <f t="shared" si="57"/>
        <v>0</v>
      </c>
    </row>
    <row r="202" spans="1:18" x14ac:dyDescent="0.25">
      <c r="A202" s="8" t="s">
        <v>135</v>
      </c>
      <c r="B202" s="4" t="str">
        <f>LEFT(A202,4)</f>
        <v>4213</v>
      </c>
      <c r="C202" s="102">
        <v>0</v>
      </c>
      <c r="D202" s="98">
        <v>0</v>
      </c>
      <c r="E202" s="34">
        <f>VLOOKUP($B202,Town_Sage!$A$5:$D$399,3,0)</f>
        <v>0</v>
      </c>
      <c r="F202" s="34">
        <f>VLOOKUP($B202,Town_Sage!$A$5:$D$399,4,0)</f>
        <v>0</v>
      </c>
      <c r="G202" s="34">
        <f t="shared" si="54"/>
        <v>0</v>
      </c>
      <c r="H202" s="34"/>
      <c r="I202" s="34"/>
      <c r="J202" s="34">
        <f t="shared" ref="J202:J266" si="99">IF(H202&gt;0,H202,-I202)</f>
        <v>0</v>
      </c>
      <c r="K202" s="34"/>
      <c r="L202" s="34"/>
      <c r="M202" s="34">
        <f t="shared" ref="M202:M266" si="100">IF(K202&gt;0,K202,-L202)</f>
        <v>0</v>
      </c>
      <c r="N202" s="34">
        <f t="shared" si="55"/>
        <v>0</v>
      </c>
      <c r="O202" s="34">
        <f t="shared" si="56"/>
        <v>0</v>
      </c>
      <c r="P202" s="34">
        <f t="shared" si="57"/>
        <v>0</v>
      </c>
    </row>
    <row r="203" spans="1:18" x14ac:dyDescent="0.25">
      <c r="A203" s="8" t="s">
        <v>5</v>
      </c>
      <c r="C203" s="103">
        <f t="shared" ref="C203:D203" si="101">SUM(C199:C202)</f>
        <v>-3500</v>
      </c>
      <c r="D203" s="99">
        <f t="shared" si="101"/>
        <v>-300</v>
      </c>
      <c r="E203" s="35">
        <f>SUM(E199:E202)</f>
        <v>0</v>
      </c>
      <c r="F203" s="35">
        <f t="shared" ref="F203:P203" si="102">SUM(F199:F202)</f>
        <v>3050</v>
      </c>
      <c r="G203" s="35">
        <f t="shared" si="102"/>
        <v>-3050</v>
      </c>
      <c r="H203" s="35">
        <f t="shared" si="102"/>
        <v>0</v>
      </c>
      <c r="I203" s="35">
        <f t="shared" si="102"/>
        <v>0</v>
      </c>
      <c r="J203" s="35">
        <f t="shared" si="102"/>
        <v>0</v>
      </c>
      <c r="K203" s="35">
        <f t="shared" si="102"/>
        <v>0</v>
      </c>
      <c r="L203" s="35">
        <f t="shared" si="102"/>
        <v>0</v>
      </c>
      <c r="M203" s="35">
        <f t="shared" si="102"/>
        <v>0</v>
      </c>
      <c r="N203" s="35">
        <f t="shared" si="102"/>
        <v>0</v>
      </c>
      <c r="O203" s="35">
        <f t="shared" si="102"/>
        <v>3050</v>
      </c>
      <c r="P203" s="35">
        <f t="shared" si="102"/>
        <v>-3050</v>
      </c>
    </row>
    <row r="204" spans="1:18" x14ac:dyDescent="0.25">
      <c r="C204" s="104"/>
      <c r="D204" s="100"/>
      <c r="E204" s="34"/>
      <c r="F204" s="34"/>
      <c r="G204" s="34">
        <f t="shared" ref="G204:G266" si="103">IF(E204&gt;0,E204,-F204)</f>
        <v>0</v>
      </c>
      <c r="H204" s="34"/>
      <c r="I204" s="34"/>
      <c r="J204" s="34">
        <f t="shared" si="99"/>
        <v>0</v>
      </c>
      <c r="K204" s="34"/>
      <c r="L204" s="34"/>
      <c r="M204" s="34">
        <f t="shared" si="100"/>
        <v>0</v>
      </c>
      <c r="N204" s="34">
        <f t="shared" ref="N204:N266" si="104">E204+H204+K204</f>
        <v>0</v>
      </c>
      <c r="O204" s="34">
        <f t="shared" ref="O204:O266" si="105">F204+I204+L204</f>
        <v>0</v>
      </c>
      <c r="P204" s="34"/>
    </row>
    <row r="205" spans="1:18" x14ac:dyDescent="0.25">
      <c r="A205" s="9" t="s">
        <v>136</v>
      </c>
      <c r="B205" s="12" t="str">
        <f>LEFT(A205,5)</f>
        <v>20.11</v>
      </c>
      <c r="C205" s="103">
        <f t="shared" ref="C205:D205" si="106">C203</f>
        <v>-3500</v>
      </c>
      <c r="D205" s="99">
        <f t="shared" si="106"/>
        <v>-300</v>
      </c>
      <c r="E205" s="35">
        <f>E203</f>
        <v>0</v>
      </c>
      <c r="F205" s="35">
        <f t="shared" ref="F205:P205" si="107">F203</f>
        <v>3050</v>
      </c>
      <c r="G205" s="35">
        <f t="shared" si="107"/>
        <v>-3050</v>
      </c>
      <c r="H205" s="35">
        <f t="shared" si="107"/>
        <v>0</v>
      </c>
      <c r="I205" s="35">
        <f t="shared" si="107"/>
        <v>0</v>
      </c>
      <c r="J205" s="35">
        <f t="shared" si="107"/>
        <v>0</v>
      </c>
      <c r="K205" s="35">
        <f t="shared" si="107"/>
        <v>0</v>
      </c>
      <c r="L205" s="35">
        <f t="shared" si="107"/>
        <v>0</v>
      </c>
      <c r="M205" s="35">
        <f t="shared" si="107"/>
        <v>0</v>
      </c>
      <c r="N205" s="35">
        <f t="shared" si="107"/>
        <v>0</v>
      </c>
      <c r="O205" s="35">
        <f t="shared" si="107"/>
        <v>3050</v>
      </c>
      <c r="P205" s="35">
        <f t="shared" si="107"/>
        <v>-3050</v>
      </c>
    </row>
    <row r="206" spans="1:18" x14ac:dyDescent="0.25">
      <c r="E206" s="34"/>
      <c r="F206" s="34"/>
      <c r="G206" s="34">
        <f t="shared" si="103"/>
        <v>0</v>
      </c>
      <c r="H206" s="34"/>
      <c r="I206" s="34"/>
      <c r="J206" s="34">
        <f t="shared" si="99"/>
        <v>0</v>
      </c>
      <c r="K206" s="34"/>
      <c r="L206" s="34"/>
      <c r="M206" s="34">
        <f t="shared" si="100"/>
        <v>0</v>
      </c>
      <c r="N206" s="34">
        <f t="shared" si="104"/>
        <v>0</v>
      </c>
      <c r="O206" s="34">
        <f t="shared" si="105"/>
        <v>0</v>
      </c>
      <c r="P206" s="34"/>
    </row>
    <row r="207" spans="1:18" x14ac:dyDescent="0.25">
      <c r="A207" s="8" t="s">
        <v>137</v>
      </c>
      <c r="B207" s="4" t="str">
        <f>LEFT(A207,4)</f>
        <v>4220</v>
      </c>
      <c r="C207" s="102">
        <v>0</v>
      </c>
      <c r="D207" s="98">
        <v>0</v>
      </c>
      <c r="E207" s="34">
        <f>VLOOKUP($B207,Town_Sage!$A$5:$D$399,3,0)</f>
        <v>0</v>
      </c>
      <c r="F207" s="34">
        <f>VLOOKUP($B207,Town_Sage!$A$5:$D$399,4,0)</f>
        <v>0</v>
      </c>
      <c r="G207" s="34">
        <f t="shared" si="103"/>
        <v>0</v>
      </c>
      <c r="H207" s="34"/>
      <c r="I207" s="34"/>
      <c r="J207" s="34">
        <f t="shared" si="99"/>
        <v>0</v>
      </c>
      <c r="K207" s="34"/>
      <c r="L207" s="34"/>
      <c r="M207" s="34">
        <f t="shared" si="100"/>
        <v>0</v>
      </c>
      <c r="N207" s="34">
        <f t="shared" si="104"/>
        <v>0</v>
      </c>
      <c r="O207" s="34">
        <f t="shared" si="105"/>
        <v>0</v>
      </c>
      <c r="P207" s="34">
        <f t="shared" ref="P207:P266" si="108">IF(N207&gt;0,N207,-O207)</f>
        <v>0</v>
      </c>
    </row>
    <row r="208" spans="1:18" x14ac:dyDescent="0.25">
      <c r="A208" s="8" t="s">
        <v>138</v>
      </c>
      <c r="B208" s="4" t="str">
        <f>LEFT(A208,4)</f>
        <v>4230</v>
      </c>
      <c r="C208" s="105">
        <v>-6500</v>
      </c>
      <c r="D208" s="98">
        <v>0</v>
      </c>
      <c r="E208" s="34">
        <f>VLOOKUP($B208,Town_Sage!$A$5:$D$399,3,0)</f>
        <v>0</v>
      </c>
      <c r="F208" s="34">
        <f>VLOOKUP($B208,Town_Sage!$A$5:$D$399,4,0)</f>
        <v>6450</v>
      </c>
      <c r="G208" s="34">
        <f t="shared" si="103"/>
        <v>-6450</v>
      </c>
      <c r="H208" s="34"/>
      <c r="I208" s="34"/>
      <c r="J208" s="34">
        <f t="shared" si="99"/>
        <v>0</v>
      </c>
      <c r="K208" s="34"/>
      <c r="L208" s="34"/>
      <c r="M208" s="34">
        <f t="shared" si="100"/>
        <v>0</v>
      </c>
      <c r="N208" s="34">
        <f t="shared" si="104"/>
        <v>0</v>
      </c>
      <c r="O208" s="34">
        <f t="shared" si="105"/>
        <v>6450</v>
      </c>
      <c r="P208" s="34">
        <f t="shared" si="108"/>
        <v>-6450</v>
      </c>
      <c r="R208" s="4" t="s">
        <v>2096</v>
      </c>
    </row>
    <row r="209" spans="1:20" x14ac:dyDescent="0.25">
      <c r="A209" s="8" t="s">
        <v>139</v>
      </c>
      <c r="B209" s="4" t="str">
        <f>LEFT(A209,4)</f>
        <v>4245</v>
      </c>
      <c r="C209" s="102">
        <v>0</v>
      </c>
      <c r="D209" s="98">
        <v>0</v>
      </c>
      <c r="E209" s="34">
        <f>VLOOKUP($B209,Town_Sage!$A$5:$D$399,3,0)</f>
        <v>0</v>
      </c>
      <c r="F209" s="34">
        <f>VLOOKUP($B209,Town_Sage!$A$5:$D$399,4,0)</f>
        <v>0</v>
      </c>
      <c r="G209" s="34">
        <f t="shared" si="103"/>
        <v>0</v>
      </c>
      <c r="H209" s="34"/>
      <c r="I209" s="34"/>
      <c r="J209" s="34">
        <f t="shared" si="99"/>
        <v>0</v>
      </c>
      <c r="K209" s="34"/>
      <c r="L209" s="34"/>
      <c r="M209" s="34">
        <f t="shared" si="100"/>
        <v>0</v>
      </c>
      <c r="N209" s="34">
        <f t="shared" si="104"/>
        <v>0</v>
      </c>
      <c r="O209" s="34">
        <f t="shared" si="105"/>
        <v>0</v>
      </c>
      <c r="P209" s="34">
        <f t="shared" si="108"/>
        <v>0</v>
      </c>
    </row>
    <row r="210" spans="1:20" x14ac:dyDescent="0.25">
      <c r="A210" s="8" t="s">
        <v>2052</v>
      </c>
      <c r="B210" s="4" t="str">
        <f>LEFT(A210,4)</f>
        <v>4217</v>
      </c>
      <c r="C210" s="102">
        <v>-8000</v>
      </c>
      <c r="D210" s="98">
        <v>0</v>
      </c>
      <c r="E210" s="34">
        <f>VLOOKUP($B210,Town_Sage!$A$5:$D$399,3,0)</f>
        <v>0</v>
      </c>
      <c r="F210" s="34">
        <f>VLOOKUP($B210,Town_Sage!$A$5:$D$399,4,0)</f>
        <v>6511.3</v>
      </c>
      <c r="G210" s="34">
        <f t="shared" ref="G210" si="109">IF(E210&gt;0,E210,-F210)</f>
        <v>-6511.3</v>
      </c>
      <c r="H210" s="34"/>
      <c r="I210" s="34"/>
      <c r="J210" s="34">
        <f t="shared" si="99"/>
        <v>0</v>
      </c>
      <c r="K210" s="34"/>
      <c r="L210" s="34"/>
      <c r="M210" s="34"/>
      <c r="N210" s="34">
        <f t="shared" ref="N210" si="110">E210+H210+K210</f>
        <v>0</v>
      </c>
      <c r="O210" s="34">
        <f t="shared" ref="O210" si="111">F210+I210+L210</f>
        <v>6511.3</v>
      </c>
      <c r="P210" s="34">
        <f t="shared" ref="P210" si="112">IF(N210&gt;0,N210,-O210)</f>
        <v>-6511.3</v>
      </c>
      <c r="R210" s="4" t="s">
        <v>2097</v>
      </c>
      <c r="S210" s="4" t="s">
        <v>2256</v>
      </c>
      <c r="T210" s="4" t="s">
        <v>2257</v>
      </c>
    </row>
    <row r="211" spans="1:20" x14ac:dyDescent="0.25">
      <c r="A211" s="8" t="s">
        <v>5</v>
      </c>
      <c r="C211" s="103">
        <f t="shared" ref="C211:D211" si="113">SUM(C207:C210)</f>
        <v>-14500</v>
      </c>
      <c r="D211" s="99">
        <f t="shared" si="113"/>
        <v>0</v>
      </c>
      <c r="E211" s="35">
        <f>SUM(E207:E210)</f>
        <v>0</v>
      </c>
      <c r="F211" s="35">
        <f t="shared" ref="F211:P211" si="114">SUM(F207:F210)</f>
        <v>12961.3</v>
      </c>
      <c r="G211" s="35">
        <f t="shared" si="114"/>
        <v>-12961.3</v>
      </c>
      <c r="H211" s="35">
        <f t="shared" si="114"/>
        <v>0</v>
      </c>
      <c r="I211" s="35">
        <f t="shared" si="114"/>
        <v>0</v>
      </c>
      <c r="J211" s="35">
        <f t="shared" si="114"/>
        <v>0</v>
      </c>
      <c r="K211" s="35">
        <f t="shared" si="114"/>
        <v>0</v>
      </c>
      <c r="L211" s="35">
        <f t="shared" si="114"/>
        <v>0</v>
      </c>
      <c r="M211" s="35">
        <f t="shared" si="114"/>
        <v>0</v>
      </c>
      <c r="N211" s="35">
        <f t="shared" si="114"/>
        <v>0</v>
      </c>
      <c r="O211" s="35">
        <f t="shared" si="114"/>
        <v>12961.3</v>
      </c>
      <c r="P211" s="35">
        <f t="shared" si="114"/>
        <v>-12961.3</v>
      </c>
    </row>
    <row r="212" spans="1:20" x14ac:dyDescent="0.25">
      <c r="C212" s="104"/>
      <c r="D212" s="100"/>
      <c r="E212" s="34"/>
      <c r="F212" s="34"/>
      <c r="G212" s="34">
        <f t="shared" si="103"/>
        <v>0</v>
      </c>
      <c r="H212" s="34"/>
      <c r="I212" s="34"/>
      <c r="J212" s="34">
        <f t="shared" si="99"/>
        <v>0</v>
      </c>
      <c r="K212" s="34"/>
      <c r="L212" s="34"/>
      <c r="M212" s="34">
        <f t="shared" si="100"/>
        <v>0</v>
      </c>
      <c r="N212" s="34">
        <f t="shared" si="104"/>
        <v>0</v>
      </c>
      <c r="O212" s="34">
        <f t="shared" si="105"/>
        <v>0</v>
      </c>
      <c r="P212" s="34"/>
    </row>
    <row r="213" spans="1:20" x14ac:dyDescent="0.25">
      <c r="A213" s="9" t="s">
        <v>140</v>
      </c>
      <c r="B213" s="12" t="str">
        <f>LEFT(A213,5)</f>
        <v>20.13</v>
      </c>
      <c r="C213" s="103">
        <f t="shared" ref="C213:D213" si="115">C211</f>
        <v>-14500</v>
      </c>
      <c r="D213" s="99">
        <f t="shared" si="115"/>
        <v>0</v>
      </c>
      <c r="E213" s="35">
        <f>E211</f>
        <v>0</v>
      </c>
      <c r="F213" s="35">
        <f t="shared" ref="F213:P213" si="116">F211</f>
        <v>12961.3</v>
      </c>
      <c r="G213" s="35">
        <f t="shared" si="116"/>
        <v>-12961.3</v>
      </c>
      <c r="H213" s="35">
        <f t="shared" si="116"/>
        <v>0</v>
      </c>
      <c r="I213" s="35">
        <f t="shared" si="116"/>
        <v>0</v>
      </c>
      <c r="J213" s="35">
        <f t="shared" si="116"/>
        <v>0</v>
      </c>
      <c r="K213" s="35">
        <f t="shared" si="116"/>
        <v>0</v>
      </c>
      <c r="L213" s="35">
        <f t="shared" si="116"/>
        <v>0</v>
      </c>
      <c r="M213" s="35">
        <f t="shared" si="116"/>
        <v>0</v>
      </c>
      <c r="N213" s="35">
        <f t="shared" si="116"/>
        <v>0</v>
      </c>
      <c r="O213" s="35">
        <f t="shared" si="116"/>
        <v>12961.3</v>
      </c>
      <c r="P213" s="35">
        <f t="shared" si="116"/>
        <v>-12961.3</v>
      </c>
    </row>
    <row r="214" spans="1:20" x14ac:dyDescent="0.25">
      <c r="E214" s="34"/>
      <c r="F214" s="34"/>
      <c r="G214" s="34">
        <f t="shared" si="103"/>
        <v>0</v>
      </c>
      <c r="H214" s="34"/>
      <c r="I214" s="34"/>
      <c r="J214" s="34">
        <f t="shared" si="99"/>
        <v>0</v>
      </c>
      <c r="K214" s="34"/>
      <c r="L214" s="34"/>
      <c r="M214" s="34">
        <f t="shared" si="100"/>
        <v>0</v>
      </c>
      <c r="N214" s="34">
        <f t="shared" si="104"/>
        <v>0</v>
      </c>
      <c r="O214" s="34">
        <f t="shared" si="105"/>
        <v>0</v>
      </c>
      <c r="P214" s="34"/>
    </row>
    <row r="215" spans="1:20" x14ac:dyDescent="0.25">
      <c r="A215" s="8" t="s">
        <v>141</v>
      </c>
      <c r="B215" s="4" t="str">
        <f>LEFT(A215,4)</f>
        <v>4150</v>
      </c>
      <c r="C215" s="102">
        <v>0</v>
      </c>
      <c r="D215" s="98">
        <v>0</v>
      </c>
      <c r="E215" s="34">
        <f>VLOOKUP($B215,Town_Sage!$A$5:$D$399,3,0)</f>
        <v>0</v>
      </c>
      <c r="F215" s="34">
        <f>VLOOKUP($B215,Town_Sage!$A$5:$D$399,4,0)</f>
        <v>0</v>
      </c>
      <c r="G215" s="34">
        <f t="shared" si="103"/>
        <v>0</v>
      </c>
      <c r="H215" s="34"/>
      <c r="I215" s="34"/>
      <c r="J215" s="34">
        <f t="shared" si="99"/>
        <v>0</v>
      </c>
      <c r="K215" s="34"/>
      <c r="L215" s="34"/>
      <c r="M215" s="34">
        <f t="shared" si="100"/>
        <v>0</v>
      </c>
      <c r="N215" s="34">
        <f t="shared" si="104"/>
        <v>0</v>
      </c>
      <c r="O215" s="34">
        <f t="shared" si="105"/>
        <v>0</v>
      </c>
      <c r="P215" s="34">
        <f t="shared" si="108"/>
        <v>0</v>
      </c>
    </row>
    <row r="216" spans="1:20" x14ac:dyDescent="0.25">
      <c r="A216" s="8" t="s">
        <v>142</v>
      </c>
      <c r="B216" s="4" t="str">
        <f>LEFT(A216,4)</f>
        <v>4166</v>
      </c>
      <c r="C216" s="105">
        <v>0</v>
      </c>
      <c r="D216" s="98">
        <v>0</v>
      </c>
      <c r="E216" s="34">
        <f>VLOOKUP($B216,Town_Sage!$A$5:$D$399,3,0)</f>
        <v>0</v>
      </c>
      <c r="F216" s="34">
        <f>VLOOKUP($B216,Town_Sage!$A$5:$D$399,4,0)</f>
        <v>0</v>
      </c>
      <c r="G216" s="34">
        <f t="shared" si="103"/>
        <v>0</v>
      </c>
      <c r="H216" s="34"/>
      <c r="I216" s="34"/>
      <c r="J216" s="34">
        <f t="shared" si="99"/>
        <v>0</v>
      </c>
      <c r="K216" s="34"/>
      <c r="L216" s="34"/>
      <c r="M216" s="34">
        <f t="shared" si="100"/>
        <v>0</v>
      </c>
      <c r="N216" s="34">
        <f t="shared" si="104"/>
        <v>0</v>
      </c>
      <c r="O216" s="34">
        <f t="shared" si="105"/>
        <v>0</v>
      </c>
      <c r="P216" s="34">
        <f t="shared" si="108"/>
        <v>0</v>
      </c>
      <c r="R216" s="86" t="s">
        <v>2223</v>
      </c>
      <c r="S216" s="115"/>
    </row>
    <row r="217" spans="1:20" x14ac:dyDescent="0.25">
      <c r="A217" s="8" t="s">
        <v>5</v>
      </c>
      <c r="C217" s="103">
        <f>SUM(C215:C216)</f>
        <v>0</v>
      </c>
      <c r="D217" s="99">
        <f>SUM(D215:D216)</f>
        <v>0</v>
      </c>
      <c r="E217" s="35">
        <f>SUM(E215:E216)</f>
        <v>0</v>
      </c>
      <c r="F217" s="35">
        <f t="shared" ref="F217:P217" si="117">SUM(F215:F216)</f>
        <v>0</v>
      </c>
      <c r="G217" s="35">
        <f t="shared" si="117"/>
        <v>0</v>
      </c>
      <c r="H217" s="35">
        <f t="shared" si="117"/>
        <v>0</v>
      </c>
      <c r="I217" s="35">
        <f t="shared" si="117"/>
        <v>0</v>
      </c>
      <c r="J217" s="35">
        <f t="shared" si="117"/>
        <v>0</v>
      </c>
      <c r="K217" s="35">
        <f t="shared" si="117"/>
        <v>0</v>
      </c>
      <c r="L217" s="35">
        <f t="shared" si="117"/>
        <v>0</v>
      </c>
      <c r="M217" s="35">
        <f t="shared" si="117"/>
        <v>0</v>
      </c>
      <c r="N217" s="35">
        <f t="shared" si="117"/>
        <v>0</v>
      </c>
      <c r="O217" s="35">
        <f t="shared" si="117"/>
        <v>0</v>
      </c>
      <c r="P217" s="35">
        <f t="shared" si="117"/>
        <v>0</v>
      </c>
    </row>
    <row r="218" spans="1:20" x14ac:dyDescent="0.25">
      <c r="C218" s="104"/>
      <c r="D218" s="100"/>
      <c r="E218" s="34"/>
      <c r="F218" s="34"/>
      <c r="G218" s="34">
        <f t="shared" si="103"/>
        <v>0</v>
      </c>
      <c r="H218" s="34"/>
      <c r="I218" s="34"/>
      <c r="J218" s="34">
        <f t="shared" si="99"/>
        <v>0</v>
      </c>
      <c r="K218" s="34"/>
      <c r="L218" s="34"/>
      <c r="M218" s="34">
        <f t="shared" si="100"/>
        <v>0</v>
      </c>
      <c r="N218" s="34">
        <f t="shared" si="104"/>
        <v>0</v>
      </c>
      <c r="O218" s="34">
        <f t="shared" si="105"/>
        <v>0</v>
      </c>
      <c r="P218" s="34"/>
    </row>
    <row r="219" spans="1:20" x14ac:dyDescent="0.25">
      <c r="A219" s="9" t="s">
        <v>143</v>
      </c>
      <c r="B219" s="12" t="str">
        <f>LEFT(A219,5)</f>
        <v>20.14</v>
      </c>
      <c r="C219" s="103">
        <f>C217</f>
        <v>0</v>
      </c>
      <c r="D219" s="99">
        <f t="shared" ref="D219" si="118">D217</f>
        <v>0</v>
      </c>
      <c r="E219" s="35">
        <f>E217</f>
        <v>0</v>
      </c>
      <c r="F219" s="35">
        <f t="shared" ref="F219:P219" si="119">F217</f>
        <v>0</v>
      </c>
      <c r="G219" s="35">
        <f t="shared" si="119"/>
        <v>0</v>
      </c>
      <c r="H219" s="35">
        <f t="shared" si="119"/>
        <v>0</v>
      </c>
      <c r="I219" s="35">
        <f t="shared" si="119"/>
        <v>0</v>
      </c>
      <c r="J219" s="35">
        <f t="shared" si="119"/>
        <v>0</v>
      </c>
      <c r="K219" s="35">
        <f t="shared" si="119"/>
        <v>0</v>
      </c>
      <c r="L219" s="35">
        <f t="shared" si="119"/>
        <v>0</v>
      </c>
      <c r="M219" s="35">
        <f t="shared" si="119"/>
        <v>0</v>
      </c>
      <c r="N219" s="35">
        <f t="shared" si="119"/>
        <v>0</v>
      </c>
      <c r="O219" s="35">
        <f t="shared" si="119"/>
        <v>0</v>
      </c>
      <c r="P219" s="35">
        <f t="shared" si="119"/>
        <v>0</v>
      </c>
    </row>
    <row r="220" spans="1:20" x14ac:dyDescent="0.25">
      <c r="E220" s="34"/>
      <c r="F220" s="34"/>
      <c r="G220" s="34">
        <f t="shared" si="103"/>
        <v>0</v>
      </c>
      <c r="H220" s="34"/>
      <c r="I220" s="34"/>
      <c r="J220" s="34">
        <f t="shared" si="99"/>
        <v>0</v>
      </c>
      <c r="K220" s="34"/>
      <c r="L220" s="34"/>
      <c r="M220" s="34">
        <f t="shared" si="100"/>
        <v>0</v>
      </c>
      <c r="N220" s="34">
        <f t="shared" si="104"/>
        <v>0</v>
      </c>
      <c r="O220" s="34">
        <f t="shared" si="105"/>
        <v>0</v>
      </c>
      <c r="P220" s="34"/>
    </row>
    <row r="221" spans="1:20" x14ac:dyDescent="0.25">
      <c r="A221" s="8" t="s">
        <v>144</v>
      </c>
      <c r="B221" s="4" t="str">
        <f>LEFT(A221,4)</f>
        <v>4400</v>
      </c>
      <c r="C221" s="102">
        <v>0</v>
      </c>
      <c r="D221" s="98">
        <v>0</v>
      </c>
      <c r="E221" s="34">
        <f>VLOOKUP($B221,Town_Sage!$A$5:$D$399,3,0)</f>
        <v>0</v>
      </c>
      <c r="F221" s="34">
        <f>VLOOKUP($B221,Town_Sage!$A$5:$D$399,4,0)</f>
        <v>0</v>
      </c>
      <c r="G221" s="34">
        <f t="shared" si="103"/>
        <v>0</v>
      </c>
      <c r="H221" s="34"/>
      <c r="I221" s="34"/>
      <c r="J221" s="34">
        <f t="shared" si="99"/>
        <v>0</v>
      </c>
      <c r="K221" s="34"/>
      <c r="L221" s="34"/>
      <c r="M221" s="34">
        <f t="shared" si="100"/>
        <v>0</v>
      </c>
      <c r="N221" s="34">
        <f t="shared" si="104"/>
        <v>0</v>
      </c>
      <c r="O221" s="34">
        <f t="shared" si="105"/>
        <v>0</v>
      </c>
      <c r="P221" s="34">
        <f t="shared" si="108"/>
        <v>0</v>
      </c>
    </row>
    <row r="222" spans="1:20" x14ac:dyDescent="0.25">
      <c r="A222" s="8" t="s">
        <v>5</v>
      </c>
      <c r="C222" s="103">
        <f t="shared" ref="C222:D222" si="120">C221</f>
        <v>0</v>
      </c>
      <c r="D222" s="99">
        <f t="shared" si="120"/>
        <v>0</v>
      </c>
      <c r="E222" s="35">
        <f>E221</f>
        <v>0</v>
      </c>
      <c r="F222" s="35">
        <f t="shared" ref="F222:P222" si="121">F221</f>
        <v>0</v>
      </c>
      <c r="G222" s="35">
        <f t="shared" si="121"/>
        <v>0</v>
      </c>
      <c r="H222" s="35">
        <f t="shared" si="121"/>
        <v>0</v>
      </c>
      <c r="I222" s="35">
        <f t="shared" si="121"/>
        <v>0</v>
      </c>
      <c r="J222" s="35">
        <f t="shared" si="121"/>
        <v>0</v>
      </c>
      <c r="K222" s="35">
        <f t="shared" si="121"/>
        <v>0</v>
      </c>
      <c r="L222" s="35">
        <f t="shared" si="121"/>
        <v>0</v>
      </c>
      <c r="M222" s="35">
        <f t="shared" si="121"/>
        <v>0</v>
      </c>
      <c r="N222" s="35">
        <f t="shared" si="121"/>
        <v>0</v>
      </c>
      <c r="O222" s="35">
        <f t="shared" si="121"/>
        <v>0</v>
      </c>
      <c r="P222" s="35">
        <f t="shared" si="121"/>
        <v>0</v>
      </c>
    </row>
    <row r="223" spans="1:20" x14ac:dyDescent="0.25">
      <c r="C223" s="104"/>
      <c r="D223" s="100"/>
      <c r="E223" s="34"/>
      <c r="F223" s="34"/>
      <c r="G223" s="34">
        <f t="shared" si="103"/>
        <v>0</v>
      </c>
      <c r="H223" s="34"/>
      <c r="I223" s="34"/>
      <c r="J223" s="34">
        <f t="shared" si="99"/>
        <v>0</v>
      </c>
      <c r="K223" s="34"/>
      <c r="L223" s="34"/>
      <c r="M223" s="34">
        <f t="shared" si="100"/>
        <v>0</v>
      </c>
      <c r="N223" s="34">
        <f t="shared" si="104"/>
        <v>0</v>
      </c>
      <c r="O223" s="34">
        <f t="shared" si="105"/>
        <v>0</v>
      </c>
      <c r="P223" s="34"/>
    </row>
    <row r="224" spans="1:20" x14ac:dyDescent="0.25">
      <c r="A224" s="9" t="s">
        <v>145</v>
      </c>
      <c r="B224" s="12" t="str">
        <f>LEFT(A224,5)</f>
        <v>20.15</v>
      </c>
      <c r="C224" s="103">
        <f t="shared" ref="C224:D224" si="122">C222</f>
        <v>0</v>
      </c>
      <c r="D224" s="99">
        <f t="shared" si="122"/>
        <v>0</v>
      </c>
      <c r="E224" s="35">
        <f>E222</f>
        <v>0</v>
      </c>
      <c r="F224" s="35">
        <f t="shared" ref="F224:P224" si="123">F222</f>
        <v>0</v>
      </c>
      <c r="G224" s="35">
        <f t="shared" si="123"/>
        <v>0</v>
      </c>
      <c r="H224" s="35">
        <f t="shared" si="123"/>
        <v>0</v>
      </c>
      <c r="I224" s="35">
        <f t="shared" si="123"/>
        <v>0</v>
      </c>
      <c r="J224" s="35">
        <f t="shared" si="123"/>
        <v>0</v>
      </c>
      <c r="K224" s="35">
        <f t="shared" si="123"/>
        <v>0</v>
      </c>
      <c r="L224" s="35">
        <f t="shared" si="123"/>
        <v>0</v>
      </c>
      <c r="M224" s="35">
        <f t="shared" si="123"/>
        <v>0</v>
      </c>
      <c r="N224" s="35">
        <f t="shared" si="123"/>
        <v>0</v>
      </c>
      <c r="O224" s="35">
        <f t="shared" si="123"/>
        <v>0</v>
      </c>
      <c r="P224" s="35">
        <f t="shared" si="123"/>
        <v>0</v>
      </c>
    </row>
    <row r="225" spans="1:20" x14ac:dyDescent="0.25">
      <c r="E225" s="34"/>
      <c r="F225" s="34"/>
      <c r="G225" s="34">
        <f t="shared" si="103"/>
        <v>0</v>
      </c>
      <c r="H225" s="34"/>
      <c r="I225" s="34"/>
      <c r="J225" s="34">
        <f t="shared" si="99"/>
        <v>0</v>
      </c>
      <c r="K225" s="34"/>
      <c r="L225" s="34"/>
      <c r="M225" s="34">
        <f t="shared" si="100"/>
        <v>0</v>
      </c>
      <c r="N225" s="34">
        <f t="shared" si="104"/>
        <v>0</v>
      </c>
      <c r="O225" s="34">
        <f t="shared" si="105"/>
        <v>0</v>
      </c>
      <c r="P225" s="34"/>
    </row>
    <row r="226" spans="1:20" x14ac:dyDescent="0.25">
      <c r="A226" s="8" t="s">
        <v>146</v>
      </c>
      <c r="B226" s="4" t="str">
        <f>LEFT(A226,4)</f>
        <v>4011</v>
      </c>
      <c r="C226" s="105">
        <f>-102000*1.25</f>
        <v>-127500</v>
      </c>
      <c r="D226" s="98">
        <v>0</v>
      </c>
      <c r="E226" s="34"/>
      <c r="F226" s="34"/>
      <c r="G226" s="34">
        <f t="shared" si="103"/>
        <v>0</v>
      </c>
      <c r="H226" s="34">
        <f>VLOOKUP($B226,Utility!$A$5:$D$248,3,0)</f>
        <v>0</v>
      </c>
      <c r="I226" s="34">
        <f>VLOOKUP($B226,Utility!$A$5:$D$248,4,0)</f>
        <v>101178.67</v>
      </c>
      <c r="J226" s="34">
        <f t="shared" si="99"/>
        <v>-101178.67</v>
      </c>
      <c r="K226" s="34"/>
      <c r="L226" s="34"/>
      <c r="M226" s="34">
        <f t="shared" si="100"/>
        <v>0</v>
      </c>
      <c r="N226" s="34">
        <f t="shared" si="104"/>
        <v>0</v>
      </c>
      <c r="O226" s="34">
        <f t="shared" si="105"/>
        <v>101178.67</v>
      </c>
      <c r="P226" s="34">
        <f t="shared" si="108"/>
        <v>-101178.67</v>
      </c>
      <c r="R226" s="4" t="s">
        <v>2098</v>
      </c>
      <c r="T226" s="4" t="s">
        <v>2292</v>
      </c>
    </row>
    <row r="227" spans="1:20" x14ac:dyDescent="0.25">
      <c r="A227" s="8" t="s">
        <v>8</v>
      </c>
      <c r="C227" s="103">
        <f t="shared" ref="C227:D227" si="124">C226</f>
        <v>-127500</v>
      </c>
      <c r="D227" s="99">
        <f t="shared" si="124"/>
        <v>0</v>
      </c>
      <c r="E227" s="35">
        <f>E226</f>
        <v>0</v>
      </c>
      <c r="F227" s="35">
        <f t="shared" ref="F227:P227" si="125">F226</f>
        <v>0</v>
      </c>
      <c r="G227" s="35">
        <f t="shared" si="125"/>
        <v>0</v>
      </c>
      <c r="H227" s="35">
        <f t="shared" si="125"/>
        <v>0</v>
      </c>
      <c r="I227" s="35">
        <f t="shared" si="125"/>
        <v>101178.67</v>
      </c>
      <c r="J227" s="35">
        <f t="shared" si="125"/>
        <v>-101178.67</v>
      </c>
      <c r="K227" s="35">
        <f t="shared" si="125"/>
        <v>0</v>
      </c>
      <c r="L227" s="35">
        <f t="shared" si="125"/>
        <v>0</v>
      </c>
      <c r="M227" s="35">
        <f t="shared" si="125"/>
        <v>0</v>
      </c>
      <c r="N227" s="35">
        <f t="shared" si="125"/>
        <v>0</v>
      </c>
      <c r="O227" s="35">
        <f t="shared" si="125"/>
        <v>101178.67</v>
      </c>
      <c r="P227" s="35">
        <f t="shared" si="125"/>
        <v>-101178.67</v>
      </c>
    </row>
    <row r="228" spans="1:20" x14ac:dyDescent="0.25">
      <c r="C228" s="104"/>
      <c r="D228" s="100"/>
      <c r="E228" s="34"/>
      <c r="F228" s="34"/>
      <c r="G228" s="34">
        <f t="shared" si="103"/>
        <v>0</v>
      </c>
      <c r="H228" s="34"/>
      <c r="I228" s="34"/>
      <c r="J228" s="34">
        <f t="shared" si="99"/>
        <v>0</v>
      </c>
      <c r="K228" s="34"/>
      <c r="L228" s="34"/>
      <c r="M228" s="34">
        <f t="shared" si="100"/>
        <v>0</v>
      </c>
      <c r="N228" s="34">
        <f t="shared" si="104"/>
        <v>0</v>
      </c>
      <c r="O228" s="34">
        <f t="shared" si="105"/>
        <v>0</v>
      </c>
      <c r="P228" s="34"/>
    </row>
    <row r="229" spans="1:20" x14ac:dyDescent="0.25">
      <c r="A229" s="9" t="s">
        <v>147</v>
      </c>
      <c r="B229" s="12" t="str">
        <f>LEFT(A229,5)</f>
        <v>21. 1</v>
      </c>
      <c r="C229" s="103">
        <f t="shared" ref="C229:D229" si="126">C227</f>
        <v>-127500</v>
      </c>
      <c r="D229" s="99">
        <f t="shared" si="126"/>
        <v>0</v>
      </c>
      <c r="E229" s="35">
        <f>E227</f>
        <v>0</v>
      </c>
      <c r="F229" s="35">
        <f t="shared" ref="F229:P229" si="127">F227</f>
        <v>0</v>
      </c>
      <c r="G229" s="35">
        <f t="shared" si="127"/>
        <v>0</v>
      </c>
      <c r="H229" s="35">
        <f t="shared" si="127"/>
        <v>0</v>
      </c>
      <c r="I229" s="35">
        <f t="shared" si="127"/>
        <v>101178.67</v>
      </c>
      <c r="J229" s="35">
        <f t="shared" si="127"/>
        <v>-101178.67</v>
      </c>
      <c r="K229" s="35">
        <f t="shared" si="127"/>
        <v>0</v>
      </c>
      <c r="L229" s="35">
        <f t="shared" si="127"/>
        <v>0</v>
      </c>
      <c r="M229" s="35">
        <f t="shared" si="127"/>
        <v>0</v>
      </c>
      <c r="N229" s="35">
        <f t="shared" si="127"/>
        <v>0</v>
      </c>
      <c r="O229" s="35">
        <f t="shared" si="127"/>
        <v>101178.67</v>
      </c>
      <c r="P229" s="35">
        <f t="shared" si="127"/>
        <v>-101178.67</v>
      </c>
    </row>
    <row r="230" spans="1:20" x14ac:dyDescent="0.25">
      <c r="E230" s="34"/>
      <c r="F230" s="34"/>
      <c r="G230" s="34">
        <f t="shared" si="103"/>
        <v>0</v>
      </c>
      <c r="H230" s="34"/>
      <c r="I230" s="34"/>
      <c r="J230" s="34">
        <f t="shared" si="99"/>
        <v>0</v>
      </c>
      <c r="K230" s="34"/>
      <c r="L230" s="34"/>
      <c r="M230" s="34">
        <f t="shared" si="100"/>
        <v>0</v>
      </c>
      <c r="N230" s="34">
        <f t="shared" si="104"/>
        <v>0</v>
      </c>
      <c r="O230" s="34">
        <f t="shared" si="105"/>
        <v>0</v>
      </c>
      <c r="P230" s="34"/>
      <c r="R230" s="107">
        <v>1</v>
      </c>
      <c r="S230" s="4" t="s">
        <v>2099</v>
      </c>
    </row>
    <row r="231" spans="1:20" x14ac:dyDescent="0.25">
      <c r="A231" s="8" t="s">
        <v>148</v>
      </c>
      <c r="B231" s="4" t="str">
        <f t="shared" ref="B231:B236" si="128">LEFT(A231,4)</f>
        <v>4015</v>
      </c>
      <c r="C231" s="105">
        <f>ROUND(R231*1.225,0)</f>
        <v>-25006</v>
      </c>
      <c r="D231" s="98">
        <v>-5103.2699999999986</v>
      </c>
      <c r="E231" s="34"/>
      <c r="F231" s="34"/>
      <c r="G231" s="34">
        <f t="shared" si="103"/>
        <v>0</v>
      </c>
      <c r="H231" s="34">
        <f>VLOOKUP($B231,Utility!$A$5:$D$248,3,0)</f>
        <v>0</v>
      </c>
      <c r="I231" s="34">
        <f>VLOOKUP($B231,Utility!$A$5:$D$248,4,0)</f>
        <v>15309.81</v>
      </c>
      <c r="J231" s="34">
        <f t="shared" si="99"/>
        <v>-15309.81</v>
      </c>
      <c r="K231" s="34"/>
      <c r="L231" s="34"/>
      <c r="M231" s="34">
        <f t="shared" si="100"/>
        <v>0</v>
      </c>
      <c r="N231" s="34">
        <f t="shared" si="104"/>
        <v>0</v>
      </c>
      <c r="O231" s="34">
        <f t="shared" si="105"/>
        <v>15309.81</v>
      </c>
      <c r="P231" s="34">
        <f t="shared" si="108"/>
        <v>-15309.81</v>
      </c>
      <c r="R231" s="4">
        <f>P231/0.75</f>
        <v>-20413.079999999998</v>
      </c>
      <c r="S231" s="98">
        <f>R231-P231</f>
        <v>-5103.2699999999986</v>
      </c>
    </row>
    <row r="232" spans="1:20" x14ac:dyDescent="0.25">
      <c r="A232" s="8" t="s">
        <v>149</v>
      </c>
      <c r="B232" s="4" t="str">
        <f t="shared" si="128"/>
        <v>4016</v>
      </c>
      <c r="C232" s="105">
        <f t="shared" ref="C232:C236" si="129">ROUND(R232*1.225,0)</f>
        <v>-24063</v>
      </c>
      <c r="D232" s="98">
        <v>-4910.7899999999991</v>
      </c>
      <c r="E232" s="34"/>
      <c r="F232" s="34"/>
      <c r="G232" s="34">
        <f t="shared" si="103"/>
        <v>0</v>
      </c>
      <c r="H232" s="34">
        <f>VLOOKUP($B232,Utility!$A$5:$D$248,3,0)</f>
        <v>0</v>
      </c>
      <c r="I232" s="34">
        <f>VLOOKUP($B232,Utility!$A$5:$D$248,4,0)</f>
        <v>14732.37</v>
      </c>
      <c r="J232" s="34">
        <f t="shared" si="99"/>
        <v>-14732.37</v>
      </c>
      <c r="K232" s="34"/>
      <c r="L232" s="34"/>
      <c r="M232" s="34">
        <f t="shared" si="100"/>
        <v>0</v>
      </c>
      <c r="N232" s="34">
        <f t="shared" si="104"/>
        <v>0</v>
      </c>
      <c r="O232" s="34">
        <f t="shared" si="105"/>
        <v>14732.37</v>
      </c>
      <c r="P232" s="34">
        <f t="shared" si="108"/>
        <v>-14732.37</v>
      </c>
      <c r="R232" s="4">
        <f t="shared" ref="R232:R236" si="130">P232/0.75</f>
        <v>-19643.16</v>
      </c>
      <c r="S232" s="98">
        <f t="shared" ref="S232:S236" si="131">R232-P232</f>
        <v>-4910.7899999999991</v>
      </c>
    </row>
    <row r="233" spans="1:20" x14ac:dyDescent="0.25">
      <c r="A233" s="8" t="s">
        <v>150</v>
      </c>
      <c r="B233" s="4" t="str">
        <f t="shared" si="128"/>
        <v>4017</v>
      </c>
      <c r="C233" s="105">
        <f t="shared" si="129"/>
        <v>-21033</v>
      </c>
      <c r="D233" s="98">
        <v>-4292.5</v>
      </c>
      <c r="E233" s="34"/>
      <c r="F233" s="34"/>
      <c r="G233" s="34">
        <f t="shared" si="103"/>
        <v>0</v>
      </c>
      <c r="H233" s="34">
        <f>VLOOKUP($B233,Utility!$A$5:$D$248,3,0)</f>
        <v>0</v>
      </c>
      <c r="I233" s="34">
        <f>VLOOKUP($B233,Utility!$A$5:$D$248,4,0)</f>
        <v>12877.5</v>
      </c>
      <c r="J233" s="34">
        <f t="shared" si="99"/>
        <v>-12877.5</v>
      </c>
      <c r="K233" s="34"/>
      <c r="L233" s="34"/>
      <c r="M233" s="34">
        <f t="shared" si="100"/>
        <v>0</v>
      </c>
      <c r="N233" s="34">
        <f t="shared" si="104"/>
        <v>0</v>
      </c>
      <c r="O233" s="34">
        <f t="shared" si="105"/>
        <v>12877.5</v>
      </c>
      <c r="P233" s="34">
        <f t="shared" si="108"/>
        <v>-12877.5</v>
      </c>
      <c r="R233" s="4">
        <f t="shared" si="130"/>
        <v>-17170</v>
      </c>
      <c r="S233" s="98">
        <f t="shared" si="131"/>
        <v>-4292.5</v>
      </c>
    </row>
    <row r="234" spans="1:20" x14ac:dyDescent="0.25">
      <c r="A234" s="8" t="s">
        <v>151</v>
      </c>
      <c r="B234" s="4" t="str">
        <f t="shared" si="128"/>
        <v>4018</v>
      </c>
      <c r="C234" s="105">
        <f t="shared" si="129"/>
        <v>-6416</v>
      </c>
      <c r="D234" s="98">
        <v>-1309.3199999999997</v>
      </c>
      <c r="E234" s="34"/>
      <c r="F234" s="34"/>
      <c r="G234" s="34">
        <f t="shared" si="103"/>
        <v>0</v>
      </c>
      <c r="H234" s="34">
        <f>VLOOKUP($B234,Utility!$A$5:$D$248,3,0)</f>
        <v>0</v>
      </c>
      <c r="I234" s="34">
        <f>VLOOKUP($B234,Utility!$A$5:$D$248,4,0)</f>
        <v>3927.96</v>
      </c>
      <c r="J234" s="34">
        <f t="shared" si="99"/>
        <v>-3927.96</v>
      </c>
      <c r="K234" s="34"/>
      <c r="L234" s="34"/>
      <c r="M234" s="34">
        <f t="shared" si="100"/>
        <v>0</v>
      </c>
      <c r="N234" s="34">
        <f t="shared" si="104"/>
        <v>0</v>
      </c>
      <c r="O234" s="34">
        <f t="shared" si="105"/>
        <v>3927.96</v>
      </c>
      <c r="P234" s="34">
        <f t="shared" si="108"/>
        <v>-3927.96</v>
      </c>
      <c r="R234" s="4">
        <f t="shared" si="130"/>
        <v>-5237.28</v>
      </c>
      <c r="S234" s="98">
        <f t="shared" si="131"/>
        <v>-1309.3199999999997</v>
      </c>
    </row>
    <row r="235" spans="1:20" x14ac:dyDescent="0.25">
      <c r="A235" s="8" t="s">
        <v>152</v>
      </c>
      <c r="B235" s="4" t="str">
        <f t="shared" si="128"/>
        <v>4019</v>
      </c>
      <c r="C235" s="105">
        <f t="shared" si="129"/>
        <v>-13226</v>
      </c>
      <c r="D235" s="98">
        <v>-2699.1066666666666</v>
      </c>
      <c r="E235" s="34"/>
      <c r="F235" s="34"/>
      <c r="G235" s="34">
        <f t="shared" si="103"/>
        <v>0</v>
      </c>
      <c r="H235" s="34">
        <f>VLOOKUP($B235,Utility!$A$5:$D$248,3,0)</f>
        <v>0</v>
      </c>
      <c r="I235" s="34">
        <f>VLOOKUP($B235,Utility!$A$5:$D$248,4,0)</f>
        <v>8097.32</v>
      </c>
      <c r="J235" s="34">
        <f t="shared" si="99"/>
        <v>-8097.32</v>
      </c>
      <c r="K235" s="34"/>
      <c r="L235" s="34"/>
      <c r="M235" s="34">
        <f t="shared" si="100"/>
        <v>0</v>
      </c>
      <c r="N235" s="34">
        <f t="shared" si="104"/>
        <v>0</v>
      </c>
      <c r="O235" s="34">
        <f t="shared" si="105"/>
        <v>8097.32</v>
      </c>
      <c r="P235" s="34">
        <f t="shared" si="108"/>
        <v>-8097.32</v>
      </c>
      <c r="R235" s="4">
        <f t="shared" si="130"/>
        <v>-10796.426666666666</v>
      </c>
      <c r="S235" s="98">
        <f t="shared" si="131"/>
        <v>-2699.1066666666666</v>
      </c>
    </row>
    <row r="236" spans="1:20" x14ac:dyDescent="0.25">
      <c r="A236" s="8" t="s">
        <v>153</v>
      </c>
      <c r="B236" s="4" t="str">
        <f t="shared" si="128"/>
        <v>4021</v>
      </c>
      <c r="C236" s="105">
        <f t="shared" si="129"/>
        <v>-593</v>
      </c>
      <c r="D236" s="98">
        <v>-121.12</v>
      </c>
      <c r="E236" s="34"/>
      <c r="F236" s="34"/>
      <c r="G236" s="34">
        <f t="shared" si="103"/>
        <v>0</v>
      </c>
      <c r="H236" s="34">
        <f>VLOOKUP($B236,Utility!$A$5:$D$248,3,0)</f>
        <v>0</v>
      </c>
      <c r="I236" s="34">
        <f>VLOOKUP($B236,Utility!$A$5:$D$248,4,0)</f>
        <v>363.36</v>
      </c>
      <c r="J236" s="34">
        <f t="shared" si="99"/>
        <v>-363.36</v>
      </c>
      <c r="K236" s="34"/>
      <c r="L236" s="34"/>
      <c r="M236" s="34">
        <f t="shared" si="100"/>
        <v>0</v>
      </c>
      <c r="N236" s="34">
        <f t="shared" si="104"/>
        <v>0</v>
      </c>
      <c r="O236" s="34">
        <f t="shared" si="105"/>
        <v>363.36</v>
      </c>
      <c r="P236" s="34">
        <f t="shared" si="108"/>
        <v>-363.36</v>
      </c>
      <c r="R236" s="4">
        <f t="shared" si="130"/>
        <v>-484.48</v>
      </c>
      <c r="S236" s="98">
        <f t="shared" si="131"/>
        <v>-121.12</v>
      </c>
    </row>
    <row r="237" spans="1:20" x14ac:dyDescent="0.25">
      <c r="A237" s="8" t="s">
        <v>8</v>
      </c>
      <c r="C237" s="103">
        <f t="shared" ref="C237:D237" si="132">SUM(C231:C236)</f>
        <v>-90337</v>
      </c>
      <c r="D237" s="99">
        <f t="shared" si="132"/>
        <v>-18436.106666666663</v>
      </c>
      <c r="E237" s="35">
        <f>SUM(E231:E236)</f>
        <v>0</v>
      </c>
      <c r="F237" s="35">
        <f t="shared" ref="F237:P237" si="133">SUM(F231:F236)</f>
        <v>0</v>
      </c>
      <c r="G237" s="35">
        <f t="shared" si="133"/>
        <v>0</v>
      </c>
      <c r="H237" s="35">
        <f t="shared" si="133"/>
        <v>0</v>
      </c>
      <c r="I237" s="35">
        <f t="shared" si="133"/>
        <v>55308.32</v>
      </c>
      <c r="J237" s="35">
        <f t="shared" si="133"/>
        <v>-55308.32</v>
      </c>
      <c r="K237" s="35">
        <f t="shared" si="133"/>
        <v>0</v>
      </c>
      <c r="L237" s="35">
        <f t="shared" si="133"/>
        <v>0</v>
      </c>
      <c r="M237" s="35">
        <f t="shared" si="133"/>
        <v>0</v>
      </c>
      <c r="N237" s="35">
        <f t="shared" si="133"/>
        <v>0</v>
      </c>
      <c r="O237" s="35">
        <f t="shared" si="133"/>
        <v>55308.32</v>
      </c>
      <c r="P237" s="35">
        <f t="shared" si="133"/>
        <v>-55308.32</v>
      </c>
      <c r="R237" s="4" t="s">
        <v>2100</v>
      </c>
    </row>
    <row r="238" spans="1:20" x14ac:dyDescent="0.25">
      <c r="C238" s="104"/>
      <c r="D238" s="100"/>
      <c r="E238" s="34"/>
      <c r="F238" s="34"/>
      <c r="G238" s="34">
        <f t="shared" si="103"/>
        <v>0</v>
      </c>
      <c r="H238" s="34"/>
      <c r="I238" s="34"/>
      <c r="J238" s="34">
        <f t="shared" si="99"/>
        <v>0</v>
      </c>
      <c r="K238" s="34"/>
      <c r="L238" s="34"/>
      <c r="M238" s="34">
        <f t="shared" si="100"/>
        <v>0</v>
      </c>
      <c r="N238" s="34">
        <f t="shared" si="104"/>
        <v>0</v>
      </c>
      <c r="O238" s="34">
        <f t="shared" si="105"/>
        <v>0</v>
      </c>
      <c r="P238" s="34"/>
    </row>
    <row r="239" spans="1:20" x14ac:dyDescent="0.25">
      <c r="A239" s="9" t="s">
        <v>154</v>
      </c>
      <c r="B239" s="12" t="str">
        <f>LEFT(A239,5)</f>
        <v>21. 2</v>
      </c>
      <c r="C239" s="103">
        <f t="shared" ref="C239:D239" si="134">C237</f>
        <v>-90337</v>
      </c>
      <c r="D239" s="99">
        <f t="shared" si="134"/>
        <v>-18436.106666666663</v>
      </c>
      <c r="E239" s="35">
        <f>E237</f>
        <v>0</v>
      </c>
      <c r="F239" s="35">
        <f t="shared" ref="F239:P239" si="135">F237</f>
        <v>0</v>
      </c>
      <c r="G239" s="35">
        <f t="shared" si="135"/>
        <v>0</v>
      </c>
      <c r="H239" s="35">
        <f t="shared" si="135"/>
        <v>0</v>
      </c>
      <c r="I239" s="35">
        <f t="shared" si="135"/>
        <v>55308.32</v>
      </c>
      <c r="J239" s="35">
        <f t="shared" si="135"/>
        <v>-55308.32</v>
      </c>
      <c r="K239" s="35">
        <f t="shared" si="135"/>
        <v>0</v>
      </c>
      <c r="L239" s="35">
        <f t="shared" si="135"/>
        <v>0</v>
      </c>
      <c r="M239" s="35">
        <f t="shared" si="135"/>
        <v>0</v>
      </c>
      <c r="N239" s="35">
        <f t="shared" si="135"/>
        <v>0</v>
      </c>
      <c r="O239" s="35">
        <f t="shared" si="135"/>
        <v>55308.32</v>
      </c>
      <c r="P239" s="35">
        <f t="shared" si="135"/>
        <v>-55308.32</v>
      </c>
    </row>
    <row r="240" spans="1:20" x14ac:dyDescent="0.25">
      <c r="C240" s="104"/>
      <c r="D240" s="100"/>
      <c r="E240" s="34"/>
      <c r="F240" s="34"/>
      <c r="G240" s="34">
        <f t="shared" si="103"/>
        <v>0</v>
      </c>
      <c r="H240" s="34"/>
      <c r="I240" s="34"/>
      <c r="J240" s="34">
        <f t="shared" si="99"/>
        <v>0</v>
      </c>
      <c r="K240" s="34"/>
      <c r="L240" s="34"/>
      <c r="M240" s="34">
        <f t="shared" si="100"/>
        <v>0</v>
      </c>
      <c r="N240" s="34">
        <f t="shared" si="104"/>
        <v>0</v>
      </c>
      <c r="O240" s="34">
        <f t="shared" si="105"/>
        <v>0</v>
      </c>
      <c r="P240" s="34"/>
    </row>
    <row r="241" spans="1:21" x14ac:dyDescent="0.25">
      <c r="A241" s="8" t="s">
        <v>2074</v>
      </c>
      <c r="B241" s="4" t="str">
        <f>LEFT(A241,4)</f>
        <v>4300</v>
      </c>
      <c r="C241" s="108">
        <v>-10000</v>
      </c>
      <c r="D241" s="109"/>
      <c r="E241" s="34"/>
      <c r="F241" s="34"/>
      <c r="G241" s="34">
        <f t="shared" si="103"/>
        <v>0</v>
      </c>
      <c r="H241" s="34">
        <f>VLOOKUP($B241,Utility!$A$5:$D$248,3,0)</f>
        <v>290.36</v>
      </c>
      <c r="I241" s="34">
        <f>VLOOKUP($B241,Utility!$A$5:$D$248,4,0)</f>
        <v>0</v>
      </c>
      <c r="J241" s="34">
        <f t="shared" si="99"/>
        <v>290.36</v>
      </c>
      <c r="K241" s="34"/>
      <c r="L241" s="34"/>
      <c r="M241" s="34">
        <f t="shared" si="100"/>
        <v>0</v>
      </c>
      <c r="N241" s="34">
        <f t="shared" si="104"/>
        <v>290.36</v>
      </c>
      <c r="O241" s="34">
        <f t="shared" si="105"/>
        <v>0</v>
      </c>
      <c r="P241" s="34">
        <f t="shared" si="108"/>
        <v>290.36</v>
      </c>
      <c r="S241" s="320" t="s">
        <v>2488</v>
      </c>
    </row>
    <row r="242" spans="1:21" x14ac:dyDescent="0.25">
      <c r="A242" s="8" t="s">
        <v>8</v>
      </c>
      <c r="C242" s="103">
        <f t="shared" ref="C242:D242" si="136">C241</f>
        <v>-10000</v>
      </c>
      <c r="D242" s="99">
        <f t="shared" si="136"/>
        <v>0</v>
      </c>
      <c r="E242" s="35">
        <f>E241</f>
        <v>0</v>
      </c>
      <c r="F242" s="35">
        <f t="shared" ref="F242:P242" si="137">F241</f>
        <v>0</v>
      </c>
      <c r="G242" s="35">
        <f t="shared" si="137"/>
        <v>0</v>
      </c>
      <c r="H242" s="35">
        <f t="shared" si="137"/>
        <v>290.36</v>
      </c>
      <c r="I242" s="35">
        <f t="shared" si="137"/>
        <v>0</v>
      </c>
      <c r="J242" s="35">
        <f t="shared" si="137"/>
        <v>290.36</v>
      </c>
      <c r="K242" s="35">
        <f t="shared" si="137"/>
        <v>0</v>
      </c>
      <c r="L242" s="35">
        <f t="shared" si="137"/>
        <v>0</v>
      </c>
      <c r="M242" s="35">
        <f t="shared" si="137"/>
        <v>0</v>
      </c>
      <c r="N242" s="35">
        <f t="shared" si="137"/>
        <v>290.36</v>
      </c>
      <c r="O242" s="35">
        <f t="shared" si="137"/>
        <v>0</v>
      </c>
      <c r="P242" s="35">
        <f t="shared" si="137"/>
        <v>290.36</v>
      </c>
    </row>
    <row r="243" spans="1:21" x14ac:dyDescent="0.25">
      <c r="C243" s="104"/>
      <c r="D243" s="100"/>
      <c r="E243" s="34"/>
      <c r="F243" s="34"/>
      <c r="G243" s="34">
        <f t="shared" si="103"/>
        <v>0</v>
      </c>
      <c r="H243" s="34"/>
      <c r="I243" s="34"/>
      <c r="J243" s="34">
        <f t="shared" si="99"/>
        <v>0</v>
      </c>
      <c r="K243" s="34"/>
      <c r="L243" s="34"/>
      <c r="M243" s="34">
        <f t="shared" si="100"/>
        <v>0</v>
      </c>
      <c r="N243" s="34">
        <f t="shared" si="104"/>
        <v>0</v>
      </c>
      <c r="O243" s="34">
        <f t="shared" si="105"/>
        <v>0</v>
      </c>
      <c r="P243" s="34"/>
    </row>
    <row r="244" spans="1:21" x14ac:dyDescent="0.25">
      <c r="A244" s="9" t="s">
        <v>2076</v>
      </c>
      <c r="B244" s="12" t="str">
        <f>LEFT(A244,5)</f>
        <v>21. 3</v>
      </c>
      <c r="C244" s="103">
        <f t="shared" ref="C244:D244" si="138">C242</f>
        <v>-10000</v>
      </c>
      <c r="D244" s="99">
        <f t="shared" si="138"/>
        <v>0</v>
      </c>
      <c r="E244" s="35">
        <f>E242</f>
        <v>0</v>
      </c>
      <c r="F244" s="35">
        <f t="shared" ref="F244:P244" si="139">F242</f>
        <v>0</v>
      </c>
      <c r="G244" s="35">
        <f t="shared" si="139"/>
        <v>0</v>
      </c>
      <c r="H244" s="35">
        <f t="shared" si="139"/>
        <v>290.36</v>
      </c>
      <c r="I244" s="35">
        <f t="shared" si="139"/>
        <v>0</v>
      </c>
      <c r="J244" s="35">
        <f t="shared" si="139"/>
        <v>290.36</v>
      </c>
      <c r="K244" s="35">
        <f t="shared" si="139"/>
        <v>0</v>
      </c>
      <c r="L244" s="35">
        <f t="shared" si="139"/>
        <v>0</v>
      </c>
      <c r="M244" s="35">
        <f t="shared" si="139"/>
        <v>0</v>
      </c>
      <c r="N244" s="35">
        <f t="shared" si="139"/>
        <v>290.36</v>
      </c>
      <c r="O244" s="35">
        <f t="shared" si="139"/>
        <v>0</v>
      </c>
      <c r="P244" s="35">
        <f t="shared" si="139"/>
        <v>290.36</v>
      </c>
    </row>
    <row r="245" spans="1:21" x14ac:dyDescent="0.25">
      <c r="C245" s="104"/>
      <c r="D245" s="100"/>
      <c r="E245" s="34"/>
      <c r="F245" s="34"/>
      <c r="G245" s="34">
        <f t="shared" si="103"/>
        <v>0</v>
      </c>
      <c r="H245" s="34"/>
      <c r="I245" s="34"/>
      <c r="J245" s="34">
        <f t="shared" si="99"/>
        <v>0</v>
      </c>
      <c r="K245" s="34"/>
      <c r="L245" s="34"/>
      <c r="M245" s="34">
        <f t="shared" si="100"/>
        <v>0</v>
      </c>
      <c r="N245" s="34">
        <f t="shared" si="104"/>
        <v>0</v>
      </c>
      <c r="O245" s="34">
        <f t="shared" si="105"/>
        <v>0</v>
      </c>
      <c r="P245" s="34"/>
    </row>
    <row r="246" spans="1:21" x14ac:dyDescent="0.25">
      <c r="A246" s="8" t="s">
        <v>155</v>
      </c>
      <c r="B246" s="4" t="str">
        <f>LEFT(A246,4)</f>
        <v>4200</v>
      </c>
      <c r="C246" s="333">
        <v>-10000</v>
      </c>
      <c r="D246" s="108"/>
      <c r="E246" s="34"/>
      <c r="F246" s="34"/>
      <c r="G246" s="34">
        <f t="shared" si="103"/>
        <v>0</v>
      </c>
      <c r="H246" s="34">
        <f>VLOOKUP($B246,Utility!$A$5:$D$248,3,0)</f>
        <v>0</v>
      </c>
      <c r="I246" s="34">
        <f>VLOOKUP($B246,Utility!$A$5:$D$248,4,0)</f>
        <v>75000</v>
      </c>
      <c r="J246" s="34">
        <f t="shared" si="99"/>
        <v>-75000</v>
      </c>
      <c r="K246" s="34"/>
      <c r="L246" s="34"/>
      <c r="M246" s="34">
        <f t="shared" si="100"/>
        <v>0</v>
      </c>
      <c r="N246" s="34">
        <f t="shared" si="104"/>
        <v>0</v>
      </c>
      <c r="O246" s="34">
        <f t="shared" si="105"/>
        <v>75000</v>
      </c>
      <c r="P246" s="34">
        <f t="shared" si="108"/>
        <v>-75000</v>
      </c>
      <c r="R246" s="4" t="s">
        <v>2101</v>
      </c>
      <c r="S246" s="320" t="s">
        <v>2489</v>
      </c>
    </row>
    <row r="247" spans="1:21" x14ac:dyDescent="0.25">
      <c r="A247" s="8" t="s">
        <v>8</v>
      </c>
      <c r="C247" s="334">
        <f t="shared" ref="C247:P247" si="140">C246</f>
        <v>-10000</v>
      </c>
      <c r="D247" s="35">
        <f t="shared" si="140"/>
        <v>0</v>
      </c>
      <c r="E247" s="35">
        <f>E246</f>
        <v>0</v>
      </c>
      <c r="F247" s="35">
        <f t="shared" si="140"/>
        <v>0</v>
      </c>
      <c r="G247" s="35">
        <f t="shared" si="140"/>
        <v>0</v>
      </c>
      <c r="H247" s="35">
        <f t="shared" si="140"/>
        <v>0</v>
      </c>
      <c r="I247" s="35">
        <f t="shared" si="140"/>
        <v>75000</v>
      </c>
      <c r="J247" s="35">
        <f t="shared" si="140"/>
        <v>-75000</v>
      </c>
      <c r="K247" s="35">
        <f t="shared" si="140"/>
        <v>0</v>
      </c>
      <c r="L247" s="35">
        <f t="shared" si="140"/>
        <v>0</v>
      </c>
      <c r="M247" s="35">
        <f t="shared" si="140"/>
        <v>0</v>
      </c>
      <c r="N247" s="35">
        <f t="shared" si="140"/>
        <v>0</v>
      </c>
      <c r="O247" s="35">
        <f t="shared" si="140"/>
        <v>75000</v>
      </c>
      <c r="P247" s="35">
        <f t="shared" si="140"/>
        <v>-75000</v>
      </c>
    </row>
    <row r="248" spans="1:21" x14ac:dyDescent="0.25">
      <c r="C248" s="104"/>
      <c r="D248" s="100"/>
      <c r="E248" s="34"/>
      <c r="F248" s="34"/>
      <c r="G248" s="34">
        <f t="shared" si="103"/>
        <v>0</v>
      </c>
      <c r="H248" s="34"/>
      <c r="I248" s="34"/>
      <c r="J248" s="34">
        <f t="shared" si="99"/>
        <v>0</v>
      </c>
      <c r="K248" s="34"/>
      <c r="L248" s="34"/>
      <c r="M248" s="34">
        <f t="shared" si="100"/>
        <v>0</v>
      </c>
      <c r="N248" s="34">
        <f t="shared" si="104"/>
        <v>0</v>
      </c>
      <c r="O248" s="34">
        <f t="shared" si="105"/>
        <v>0</v>
      </c>
      <c r="P248" s="34"/>
    </row>
    <row r="249" spans="1:21" x14ac:dyDescent="0.25">
      <c r="A249" s="9" t="s">
        <v>2075</v>
      </c>
      <c r="B249" s="12" t="str">
        <f>LEFT(A249,5)</f>
        <v>21. 7</v>
      </c>
      <c r="C249" s="103">
        <f t="shared" ref="C249:D249" si="141">C247</f>
        <v>-10000</v>
      </c>
      <c r="D249" s="99">
        <f t="shared" si="141"/>
        <v>0</v>
      </c>
      <c r="E249" s="35">
        <f>E247</f>
        <v>0</v>
      </c>
      <c r="F249" s="35">
        <f t="shared" ref="F249:P249" si="142">F247</f>
        <v>0</v>
      </c>
      <c r="G249" s="35">
        <f t="shared" si="142"/>
        <v>0</v>
      </c>
      <c r="H249" s="35">
        <f t="shared" si="142"/>
        <v>0</v>
      </c>
      <c r="I249" s="35">
        <f t="shared" si="142"/>
        <v>75000</v>
      </c>
      <c r="J249" s="35">
        <f t="shared" si="142"/>
        <v>-75000</v>
      </c>
      <c r="K249" s="35">
        <f t="shared" si="142"/>
        <v>0</v>
      </c>
      <c r="L249" s="35">
        <f t="shared" si="142"/>
        <v>0</v>
      </c>
      <c r="M249" s="35">
        <f t="shared" si="142"/>
        <v>0</v>
      </c>
      <c r="N249" s="35">
        <f t="shared" si="142"/>
        <v>0</v>
      </c>
      <c r="O249" s="35">
        <f t="shared" si="142"/>
        <v>75000</v>
      </c>
      <c r="P249" s="35">
        <f t="shared" si="142"/>
        <v>-75000</v>
      </c>
    </row>
    <row r="250" spans="1:21" x14ac:dyDescent="0.25">
      <c r="C250" s="104"/>
      <c r="D250" s="100"/>
      <c r="E250" s="34"/>
      <c r="F250" s="34"/>
      <c r="G250" s="34">
        <f t="shared" si="103"/>
        <v>0</v>
      </c>
      <c r="H250" s="34"/>
      <c r="I250" s="34"/>
      <c r="J250" s="34">
        <f t="shared" si="99"/>
        <v>0</v>
      </c>
      <c r="K250" s="34"/>
      <c r="L250" s="34"/>
      <c r="M250" s="34">
        <f t="shared" si="100"/>
        <v>0</v>
      </c>
      <c r="N250" s="34">
        <f t="shared" si="104"/>
        <v>0</v>
      </c>
      <c r="O250" s="34">
        <f t="shared" si="105"/>
        <v>0</v>
      </c>
      <c r="P250" s="34"/>
    </row>
    <row r="251" spans="1:21" x14ac:dyDescent="0.25">
      <c r="A251" s="8" t="s">
        <v>156</v>
      </c>
      <c r="B251" s="4" t="str">
        <f>LEFT(A251,4)</f>
        <v>4212</v>
      </c>
      <c r="C251" s="108">
        <f>-60000*1.25</f>
        <v>-75000</v>
      </c>
      <c r="D251" s="100">
        <v>0</v>
      </c>
      <c r="E251" s="34"/>
      <c r="F251" s="34"/>
      <c r="G251" s="34">
        <f t="shared" si="103"/>
        <v>0</v>
      </c>
      <c r="H251" s="34">
        <f>VLOOKUP($B251,Utility!$A$5:$D$248,3,0)</f>
        <v>0</v>
      </c>
      <c r="I251" s="34">
        <f>VLOOKUP($B251,Utility!$A$5:$D$248,4,0)</f>
        <v>59220.29</v>
      </c>
      <c r="J251" s="34">
        <f t="shared" si="99"/>
        <v>-59220.29</v>
      </c>
      <c r="K251" s="34"/>
      <c r="L251" s="34"/>
      <c r="M251" s="34">
        <f t="shared" si="100"/>
        <v>0</v>
      </c>
      <c r="N251" s="34">
        <f t="shared" si="104"/>
        <v>0</v>
      </c>
      <c r="O251" s="34">
        <f t="shared" si="105"/>
        <v>59220.29</v>
      </c>
      <c r="P251" s="34">
        <f t="shared" si="108"/>
        <v>-59220.29</v>
      </c>
      <c r="R251" s="4" t="s">
        <v>2100</v>
      </c>
      <c r="S251" s="4">
        <v>60000</v>
      </c>
    </row>
    <row r="252" spans="1:21" x14ac:dyDescent="0.25">
      <c r="A252" s="8" t="s">
        <v>8</v>
      </c>
      <c r="C252" s="103">
        <f t="shared" ref="C252:D252" si="143">C251</f>
        <v>-75000</v>
      </c>
      <c r="D252" s="99">
        <f t="shared" si="143"/>
        <v>0</v>
      </c>
      <c r="E252" s="35">
        <f>E251</f>
        <v>0</v>
      </c>
      <c r="F252" s="35">
        <f t="shared" ref="F252:P252" si="144">F251</f>
        <v>0</v>
      </c>
      <c r="G252" s="35">
        <f t="shared" si="144"/>
        <v>0</v>
      </c>
      <c r="H252" s="35">
        <f t="shared" si="144"/>
        <v>0</v>
      </c>
      <c r="I252" s="35">
        <f t="shared" si="144"/>
        <v>59220.29</v>
      </c>
      <c r="J252" s="35">
        <f t="shared" si="144"/>
        <v>-59220.29</v>
      </c>
      <c r="K252" s="35">
        <f t="shared" si="144"/>
        <v>0</v>
      </c>
      <c r="L252" s="35">
        <f t="shared" si="144"/>
        <v>0</v>
      </c>
      <c r="M252" s="35">
        <f t="shared" si="144"/>
        <v>0</v>
      </c>
      <c r="N252" s="35">
        <f t="shared" si="144"/>
        <v>0</v>
      </c>
      <c r="O252" s="35">
        <f t="shared" si="144"/>
        <v>59220.29</v>
      </c>
      <c r="P252" s="35">
        <f t="shared" si="144"/>
        <v>-59220.29</v>
      </c>
    </row>
    <row r="253" spans="1:21" x14ac:dyDescent="0.25">
      <c r="C253" s="104"/>
      <c r="D253" s="100"/>
      <c r="E253" s="34"/>
      <c r="F253" s="34"/>
      <c r="G253" s="34">
        <f t="shared" si="103"/>
        <v>0</v>
      </c>
      <c r="H253" s="34"/>
      <c r="I253" s="34"/>
      <c r="J253" s="34">
        <f t="shared" si="99"/>
        <v>0</v>
      </c>
      <c r="K253" s="34"/>
      <c r="L253" s="34"/>
      <c r="M253" s="34">
        <f t="shared" si="100"/>
        <v>0</v>
      </c>
      <c r="N253" s="34">
        <f t="shared" si="104"/>
        <v>0</v>
      </c>
      <c r="O253" s="34">
        <f t="shared" si="105"/>
        <v>0</v>
      </c>
      <c r="P253" s="34"/>
    </row>
    <row r="254" spans="1:21" x14ac:dyDescent="0.25">
      <c r="A254" s="9" t="s">
        <v>157</v>
      </c>
      <c r="B254" s="12" t="str">
        <f>LEFT(A254,5)</f>
        <v>22. 1</v>
      </c>
      <c r="C254" s="103">
        <f t="shared" ref="C254:D254" si="145">C252</f>
        <v>-75000</v>
      </c>
      <c r="D254" s="99">
        <f t="shared" si="145"/>
        <v>0</v>
      </c>
      <c r="E254" s="35">
        <f>E252</f>
        <v>0</v>
      </c>
      <c r="F254" s="35">
        <f t="shared" ref="F254:P254" si="146">F252</f>
        <v>0</v>
      </c>
      <c r="G254" s="35">
        <f t="shared" si="146"/>
        <v>0</v>
      </c>
      <c r="H254" s="35">
        <f t="shared" si="146"/>
        <v>0</v>
      </c>
      <c r="I254" s="35">
        <f t="shared" si="146"/>
        <v>59220.29</v>
      </c>
      <c r="J254" s="35">
        <f t="shared" si="146"/>
        <v>-59220.29</v>
      </c>
      <c r="K254" s="35">
        <f t="shared" si="146"/>
        <v>0</v>
      </c>
      <c r="L254" s="35">
        <f t="shared" si="146"/>
        <v>0</v>
      </c>
      <c r="M254" s="35">
        <f t="shared" si="146"/>
        <v>0</v>
      </c>
      <c r="N254" s="35">
        <f t="shared" si="146"/>
        <v>0</v>
      </c>
      <c r="O254" s="35">
        <f t="shared" si="146"/>
        <v>59220.29</v>
      </c>
      <c r="P254" s="35">
        <f t="shared" si="146"/>
        <v>-59220.29</v>
      </c>
    </row>
    <row r="255" spans="1:21" x14ac:dyDescent="0.25">
      <c r="C255" s="104"/>
      <c r="D255" s="100"/>
      <c r="E255" s="34"/>
      <c r="F255" s="34"/>
      <c r="G255" s="34">
        <f t="shared" si="103"/>
        <v>0</v>
      </c>
      <c r="H255" s="34"/>
      <c r="I255" s="34"/>
      <c r="J255" s="34">
        <f t="shared" si="99"/>
        <v>0</v>
      </c>
      <c r="K255" s="34"/>
      <c r="L255" s="34"/>
      <c r="M255" s="34">
        <f t="shared" si="100"/>
        <v>0</v>
      </c>
      <c r="N255" s="34">
        <f t="shared" si="104"/>
        <v>0</v>
      </c>
      <c r="O255" s="34">
        <f t="shared" si="105"/>
        <v>0</v>
      </c>
      <c r="P255" s="34"/>
      <c r="R255" s="4" t="s">
        <v>2100</v>
      </c>
    </row>
    <row r="256" spans="1:21" x14ac:dyDescent="0.25">
      <c r="A256" s="8" t="s">
        <v>158</v>
      </c>
      <c r="B256" s="4" t="str">
        <f t="shared" ref="B256:B261" si="147">LEFT(A256,4)</f>
        <v>4216</v>
      </c>
      <c r="C256" s="108">
        <f>ROUND(R256*1.225,0)</f>
        <v>-13914</v>
      </c>
      <c r="D256" s="100">
        <v>-2839.6499999999996</v>
      </c>
      <c r="E256" s="34"/>
      <c r="F256" s="34"/>
      <c r="G256" s="34">
        <f t="shared" si="103"/>
        <v>0</v>
      </c>
      <c r="H256" s="34">
        <f>VLOOKUP($B256,Utility!$A$5:$D$248,3,0)</f>
        <v>0</v>
      </c>
      <c r="I256" s="34">
        <f>VLOOKUP($B256,Utility!$A$5:$D$248,4,0)</f>
        <v>8518.9500000000007</v>
      </c>
      <c r="J256" s="34">
        <f t="shared" si="99"/>
        <v>-8518.9500000000007</v>
      </c>
      <c r="K256" s="34"/>
      <c r="L256" s="34"/>
      <c r="M256" s="34">
        <f t="shared" si="100"/>
        <v>0</v>
      </c>
      <c r="N256" s="34">
        <f t="shared" si="104"/>
        <v>0</v>
      </c>
      <c r="O256" s="34">
        <f t="shared" si="105"/>
        <v>8518.9500000000007</v>
      </c>
      <c r="P256" s="34">
        <f t="shared" si="108"/>
        <v>-8518.9500000000007</v>
      </c>
      <c r="R256" s="4">
        <f>P256/0.75</f>
        <v>-11358.6</v>
      </c>
      <c r="S256" s="98">
        <f>R256-P256</f>
        <v>-2839.6499999999996</v>
      </c>
      <c r="U256" s="4">
        <f>0.3*0.75</f>
        <v>0.22499999999999998</v>
      </c>
    </row>
    <row r="257" spans="1:20" x14ac:dyDescent="0.25">
      <c r="A257" s="8" t="s">
        <v>159</v>
      </c>
      <c r="B257" s="4" t="str">
        <f t="shared" si="147"/>
        <v>4217</v>
      </c>
      <c r="C257" s="108">
        <f t="shared" ref="C257:C261" si="148">ROUND(R257*1.225,0)</f>
        <v>-11380</v>
      </c>
      <c r="D257" s="100">
        <v>-2322.5499999999993</v>
      </c>
      <c r="E257" s="34"/>
      <c r="F257" s="34"/>
      <c r="G257" s="34">
        <f t="shared" si="103"/>
        <v>0</v>
      </c>
      <c r="H257" s="34">
        <f>VLOOKUP($B257,Utility!$A$5:$D$248,3,0)</f>
        <v>0</v>
      </c>
      <c r="I257" s="34">
        <f>VLOOKUP($B257,Utility!$A$5:$D$248,4,0)</f>
        <v>6967.65</v>
      </c>
      <c r="J257" s="34">
        <f t="shared" si="99"/>
        <v>-6967.65</v>
      </c>
      <c r="K257" s="34"/>
      <c r="L257" s="34"/>
      <c r="M257" s="34">
        <f t="shared" si="100"/>
        <v>0</v>
      </c>
      <c r="N257" s="34">
        <f t="shared" si="104"/>
        <v>0</v>
      </c>
      <c r="O257" s="34">
        <f t="shared" si="105"/>
        <v>6967.65</v>
      </c>
      <c r="P257" s="34">
        <f t="shared" si="108"/>
        <v>-6967.65</v>
      </c>
      <c r="R257" s="110">
        <f t="shared" ref="R257:R261" si="149">P257/0.75</f>
        <v>-9290.1999999999989</v>
      </c>
      <c r="S257" s="110">
        <f t="shared" ref="S257:S261" si="150">R257-P257</f>
        <v>-2322.5499999999993</v>
      </c>
    </row>
    <row r="258" spans="1:20" x14ac:dyDescent="0.25">
      <c r="A258" s="8" t="s">
        <v>160</v>
      </c>
      <c r="B258" s="4" t="str">
        <f t="shared" si="147"/>
        <v>4218</v>
      </c>
      <c r="C258" s="108">
        <f t="shared" si="148"/>
        <v>-13565</v>
      </c>
      <c r="D258" s="100">
        <v>-2768.3700000000008</v>
      </c>
      <c r="E258" s="34"/>
      <c r="F258" s="34"/>
      <c r="G258" s="34">
        <f t="shared" si="103"/>
        <v>0</v>
      </c>
      <c r="H258" s="34">
        <f>VLOOKUP($B258,Utility!$A$5:$D$248,3,0)</f>
        <v>0</v>
      </c>
      <c r="I258" s="34">
        <f>VLOOKUP($B258,Utility!$A$5:$D$248,4,0)</f>
        <v>8305.11</v>
      </c>
      <c r="J258" s="34">
        <f t="shared" si="99"/>
        <v>-8305.11</v>
      </c>
      <c r="K258" s="34"/>
      <c r="L258" s="34"/>
      <c r="M258" s="34">
        <f t="shared" si="100"/>
        <v>0</v>
      </c>
      <c r="N258" s="34">
        <f t="shared" si="104"/>
        <v>0</v>
      </c>
      <c r="O258" s="34">
        <f t="shared" si="105"/>
        <v>8305.11</v>
      </c>
      <c r="P258" s="34">
        <f t="shared" si="108"/>
        <v>-8305.11</v>
      </c>
      <c r="R258" s="110">
        <f t="shared" si="149"/>
        <v>-11073.480000000001</v>
      </c>
      <c r="S258" s="110">
        <f t="shared" si="150"/>
        <v>-2768.3700000000008</v>
      </c>
    </row>
    <row r="259" spans="1:20" x14ac:dyDescent="0.25">
      <c r="A259" s="8" t="s">
        <v>161</v>
      </c>
      <c r="B259" s="4" t="str">
        <f t="shared" si="147"/>
        <v>4219</v>
      </c>
      <c r="C259" s="108">
        <f t="shared" si="148"/>
        <v>-4380</v>
      </c>
      <c r="D259" s="100">
        <v>-893.82999999999993</v>
      </c>
      <c r="E259" s="34"/>
      <c r="F259" s="34"/>
      <c r="G259" s="34">
        <f t="shared" si="103"/>
        <v>0</v>
      </c>
      <c r="H259" s="34">
        <f>VLOOKUP($B259,Utility!$A$5:$D$248,3,0)</f>
        <v>0</v>
      </c>
      <c r="I259" s="34">
        <f>VLOOKUP($B259,Utility!$A$5:$D$248,4,0)</f>
        <v>2681.49</v>
      </c>
      <c r="J259" s="34">
        <f t="shared" si="99"/>
        <v>-2681.49</v>
      </c>
      <c r="K259" s="34"/>
      <c r="L259" s="34"/>
      <c r="M259" s="34">
        <f t="shared" si="100"/>
        <v>0</v>
      </c>
      <c r="N259" s="34">
        <f t="shared" si="104"/>
        <v>0</v>
      </c>
      <c r="O259" s="34">
        <f t="shared" si="105"/>
        <v>2681.49</v>
      </c>
      <c r="P259" s="34">
        <f t="shared" si="108"/>
        <v>-2681.49</v>
      </c>
      <c r="R259" s="110">
        <f t="shared" si="149"/>
        <v>-3575.3199999999997</v>
      </c>
      <c r="S259" s="110">
        <f t="shared" si="150"/>
        <v>-893.82999999999993</v>
      </c>
    </row>
    <row r="260" spans="1:20" x14ac:dyDescent="0.25">
      <c r="A260" s="8" t="s">
        <v>162</v>
      </c>
      <c r="B260" s="4" t="str">
        <f t="shared" si="147"/>
        <v>4220</v>
      </c>
      <c r="C260" s="108">
        <f t="shared" si="148"/>
        <v>-7717</v>
      </c>
      <c r="D260" s="100">
        <v>-1574.8166666666666</v>
      </c>
      <c r="E260" s="34"/>
      <c r="F260" s="34"/>
      <c r="G260" s="34">
        <f t="shared" si="103"/>
        <v>0</v>
      </c>
      <c r="H260" s="34">
        <f>VLOOKUP($B260,Utility!$A$5:$D$248,3,0)</f>
        <v>0</v>
      </c>
      <c r="I260" s="34">
        <f>VLOOKUP($B260,Utility!$A$5:$D$248,4,0)</f>
        <v>4724.45</v>
      </c>
      <c r="J260" s="34">
        <f t="shared" si="99"/>
        <v>-4724.45</v>
      </c>
      <c r="K260" s="34"/>
      <c r="L260" s="34"/>
      <c r="M260" s="34">
        <f t="shared" si="100"/>
        <v>0</v>
      </c>
      <c r="N260" s="34">
        <f t="shared" si="104"/>
        <v>0</v>
      </c>
      <c r="O260" s="34">
        <f t="shared" si="105"/>
        <v>4724.45</v>
      </c>
      <c r="P260" s="34">
        <f t="shared" si="108"/>
        <v>-4724.45</v>
      </c>
      <c r="R260" s="110">
        <f t="shared" si="149"/>
        <v>-6299.2666666666664</v>
      </c>
      <c r="S260" s="110">
        <f t="shared" si="150"/>
        <v>-1574.8166666666666</v>
      </c>
    </row>
    <row r="261" spans="1:20" x14ac:dyDescent="0.25">
      <c r="A261" s="8" t="s">
        <v>163</v>
      </c>
      <c r="B261" s="4" t="str">
        <f t="shared" si="147"/>
        <v>4222</v>
      </c>
      <c r="C261" s="108">
        <f t="shared" si="148"/>
        <v>-2787</v>
      </c>
      <c r="D261" s="100">
        <v>-568.75</v>
      </c>
      <c r="E261" s="34"/>
      <c r="F261" s="34"/>
      <c r="G261" s="34">
        <f t="shared" si="103"/>
        <v>0</v>
      </c>
      <c r="H261" s="34">
        <f>VLOOKUP($B261,Utility!$A$5:$D$248,3,0)</f>
        <v>0</v>
      </c>
      <c r="I261" s="34">
        <f>VLOOKUP($B261,Utility!$A$5:$D$248,4,0)</f>
        <v>1706.25</v>
      </c>
      <c r="J261" s="34">
        <f t="shared" si="99"/>
        <v>-1706.25</v>
      </c>
      <c r="K261" s="34"/>
      <c r="L261" s="34"/>
      <c r="M261" s="34">
        <f t="shared" si="100"/>
        <v>0</v>
      </c>
      <c r="N261" s="34">
        <f t="shared" si="104"/>
        <v>0</v>
      </c>
      <c r="O261" s="34">
        <f t="shared" si="105"/>
        <v>1706.25</v>
      </c>
      <c r="P261" s="34">
        <f t="shared" si="108"/>
        <v>-1706.25</v>
      </c>
      <c r="R261" s="110">
        <f t="shared" si="149"/>
        <v>-2275</v>
      </c>
      <c r="S261" s="110">
        <f t="shared" si="150"/>
        <v>-568.75</v>
      </c>
    </row>
    <row r="262" spans="1:20" x14ac:dyDescent="0.25">
      <c r="A262" s="8" t="s">
        <v>8</v>
      </c>
      <c r="C262" s="103">
        <f t="shared" ref="C262:D262" si="151">SUM(C256:C261)</f>
        <v>-53743</v>
      </c>
      <c r="D262" s="99">
        <f t="shared" si="151"/>
        <v>-10967.966666666667</v>
      </c>
      <c r="E262" s="35">
        <f>SUM(E256:E261)</f>
        <v>0</v>
      </c>
      <c r="F262" s="35">
        <f t="shared" ref="F262:P262" si="152">SUM(F256:F261)</f>
        <v>0</v>
      </c>
      <c r="G262" s="35">
        <f t="shared" si="152"/>
        <v>0</v>
      </c>
      <c r="H262" s="35">
        <f t="shared" si="152"/>
        <v>0</v>
      </c>
      <c r="I262" s="35">
        <f t="shared" si="152"/>
        <v>32903.899999999994</v>
      </c>
      <c r="J262" s="35">
        <f t="shared" si="152"/>
        <v>-32903.899999999994</v>
      </c>
      <c r="K262" s="35">
        <f t="shared" si="152"/>
        <v>0</v>
      </c>
      <c r="L262" s="35">
        <f t="shared" si="152"/>
        <v>0</v>
      </c>
      <c r="M262" s="35">
        <f t="shared" si="152"/>
        <v>0</v>
      </c>
      <c r="N262" s="35">
        <f t="shared" si="152"/>
        <v>0</v>
      </c>
      <c r="O262" s="35">
        <f t="shared" si="152"/>
        <v>32903.899999999994</v>
      </c>
      <c r="P262" s="35">
        <f t="shared" si="152"/>
        <v>-32903.899999999994</v>
      </c>
      <c r="T262" s="4">
        <v>83485</v>
      </c>
    </row>
    <row r="263" spans="1:20" x14ac:dyDescent="0.25">
      <c r="C263" s="104"/>
      <c r="D263" s="100"/>
      <c r="E263" s="34"/>
      <c r="F263" s="34"/>
      <c r="G263" s="34">
        <f t="shared" si="103"/>
        <v>0</v>
      </c>
      <c r="H263" s="34"/>
      <c r="I263" s="34"/>
      <c r="J263" s="34">
        <f t="shared" si="99"/>
        <v>0</v>
      </c>
      <c r="K263" s="34"/>
      <c r="L263" s="34"/>
      <c r="M263" s="34">
        <f t="shared" si="100"/>
        <v>0</v>
      </c>
      <c r="N263" s="34">
        <f t="shared" si="104"/>
        <v>0</v>
      </c>
      <c r="O263" s="34">
        <f t="shared" si="105"/>
        <v>0</v>
      </c>
      <c r="P263" s="34"/>
    </row>
    <row r="264" spans="1:20" x14ac:dyDescent="0.25">
      <c r="A264" s="9" t="s">
        <v>164</v>
      </c>
      <c r="B264" s="12" t="str">
        <f>LEFT(A264,5)</f>
        <v>22. 2</v>
      </c>
      <c r="C264" s="103">
        <f t="shared" ref="C264:D264" si="153">C262</f>
        <v>-53743</v>
      </c>
      <c r="D264" s="99">
        <f t="shared" si="153"/>
        <v>-10967.966666666667</v>
      </c>
      <c r="E264" s="35">
        <f>E262</f>
        <v>0</v>
      </c>
      <c r="F264" s="35">
        <f t="shared" ref="F264:P264" si="154">F262</f>
        <v>0</v>
      </c>
      <c r="G264" s="35">
        <f t="shared" si="154"/>
        <v>0</v>
      </c>
      <c r="H264" s="35">
        <f t="shared" si="154"/>
        <v>0</v>
      </c>
      <c r="I264" s="35">
        <f t="shared" si="154"/>
        <v>32903.899999999994</v>
      </c>
      <c r="J264" s="35">
        <f t="shared" si="154"/>
        <v>-32903.899999999994</v>
      </c>
      <c r="K264" s="35">
        <f t="shared" si="154"/>
        <v>0</v>
      </c>
      <c r="L264" s="35">
        <f t="shared" si="154"/>
        <v>0</v>
      </c>
      <c r="M264" s="35">
        <f t="shared" si="154"/>
        <v>0</v>
      </c>
      <c r="N264" s="35">
        <f t="shared" si="154"/>
        <v>0</v>
      </c>
      <c r="O264" s="35">
        <f t="shared" si="154"/>
        <v>32903.899999999994</v>
      </c>
      <c r="P264" s="35">
        <f t="shared" si="154"/>
        <v>-32903.899999999994</v>
      </c>
    </row>
    <row r="265" spans="1:20" x14ac:dyDescent="0.25">
      <c r="C265" s="104"/>
      <c r="D265" s="100"/>
      <c r="E265" s="34"/>
      <c r="F265" s="34"/>
      <c r="G265" s="34">
        <f t="shared" si="103"/>
        <v>0</v>
      </c>
      <c r="H265" s="34"/>
      <c r="I265" s="34"/>
      <c r="J265" s="34">
        <f t="shared" si="99"/>
        <v>0</v>
      </c>
      <c r="K265" s="34"/>
      <c r="L265" s="34"/>
      <c r="M265" s="34">
        <f t="shared" si="100"/>
        <v>0</v>
      </c>
      <c r="N265" s="34">
        <f t="shared" si="104"/>
        <v>0</v>
      </c>
      <c r="O265" s="34">
        <f t="shared" si="105"/>
        <v>0</v>
      </c>
      <c r="P265" s="34"/>
    </row>
    <row r="266" spans="1:20" x14ac:dyDescent="0.25">
      <c r="A266" s="8" t="s">
        <v>165</v>
      </c>
      <c r="B266" s="4" t="str">
        <f>LEFT(A266,4)</f>
        <v>4223</v>
      </c>
      <c r="C266" s="108">
        <f>-38000*1.225</f>
        <v>-46550</v>
      </c>
      <c r="D266" s="100">
        <v>0</v>
      </c>
      <c r="E266" s="34"/>
      <c r="F266" s="34"/>
      <c r="G266" s="34">
        <f t="shared" si="103"/>
        <v>0</v>
      </c>
      <c r="H266" s="34">
        <f>VLOOKUP($B266,Utility!$A$5:$D$248,3,0)</f>
        <v>0</v>
      </c>
      <c r="I266" s="34">
        <f>VLOOKUP($B266,Utility!$A$5:$D$248,4,0)</f>
        <v>38000</v>
      </c>
      <c r="J266" s="34">
        <f t="shared" si="99"/>
        <v>-38000</v>
      </c>
      <c r="K266" s="34"/>
      <c r="L266" s="34"/>
      <c r="M266" s="34">
        <f t="shared" si="100"/>
        <v>0</v>
      </c>
      <c r="N266" s="34">
        <f t="shared" si="104"/>
        <v>0</v>
      </c>
      <c r="O266" s="34">
        <f t="shared" si="105"/>
        <v>38000</v>
      </c>
      <c r="P266" s="34">
        <f t="shared" si="108"/>
        <v>-38000</v>
      </c>
      <c r="R266" s="4" t="s">
        <v>2100</v>
      </c>
    </row>
    <row r="267" spans="1:20" x14ac:dyDescent="0.25">
      <c r="A267" s="8" t="s">
        <v>8</v>
      </c>
      <c r="C267" s="103">
        <f t="shared" ref="C267:D267" si="155">C266</f>
        <v>-46550</v>
      </c>
      <c r="D267" s="99">
        <f t="shared" si="155"/>
        <v>0</v>
      </c>
      <c r="E267" s="35">
        <f>E266</f>
        <v>0</v>
      </c>
      <c r="F267" s="35">
        <f t="shared" ref="F267:P267" si="156">F266</f>
        <v>0</v>
      </c>
      <c r="G267" s="35">
        <f t="shared" si="156"/>
        <v>0</v>
      </c>
      <c r="H267" s="35">
        <f t="shared" si="156"/>
        <v>0</v>
      </c>
      <c r="I267" s="35">
        <f t="shared" si="156"/>
        <v>38000</v>
      </c>
      <c r="J267" s="35">
        <f t="shared" si="156"/>
        <v>-38000</v>
      </c>
      <c r="K267" s="35">
        <f t="shared" si="156"/>
        <v>0</v>
      </c>
      <c r="L267" s="35">
        <f t="shared" si="156"/>
        <v>0</v>
      </c>
      <c r="M267" s="35">
        <f t="shared" si="156"/>
        <v>0</v>
      </c>
      <c r="N267" s="35">
        <f t="shared" si="156"/>
        <v>0</v>
      </c>
      <c r="O267" s="35">
        <f t="shared" si="156"/>
        <v>38000</v>
      </c>
      <c r="P267" s="35">
        <f t="shared" si="156"/>
        <v>-38000</v>
      </c>
    </row>
    <row r="268" spans="1:20" x14ac:dyDescent="0.25">
      <c r="C268" s="104"/>
      <c r="D268" s="100"/>
      <c r="E268" s="34"/>
      <c r="F268" s="34"/>
      <c r="G268" s="34">
        <f t="shared" ref="G268:G336" si="157">IF(E268&gt;0,E268,-F268)</f>
        <v>0</v>
      </c>
      <c r="H268" s="34"/>
      <c r="I268" s="34"/>
      <c r="J268" s="34">
        <f t="shared" ref="J268:J334" si="158">IF(H268&gt;0,H268,-I268)</f>
        <v>0</v>
      </c>
      <c r="K268" s="34"/>
      <c r="L268" s="34"/>
      <c r="M268" s="34">
        <f t="shared" ref="M268:M334" si="159">IF(K268&gt;0,K268,-L268)</f>
        <v>0</v>
      </c>
      <c r="N268" s="34">
        <f t="shared" ref="N268:N335" si="160">E268+H268+K268</f>
        <v>0</v>
      </c>
      <c r="O268" s="34">
        <f t="shared" ref="O268:O335" si="161">F268+I268+L268</f>
        <v>0</v>
      </c>
      <c r="P268" s="34"/>
    </row>
    <row r="269" spans="1:20" x14ac:dyDescent="0.25">
      <c r="A269" s="9" t="s">
        <v>166</v>
      </c>
      <c r="B269" s="12" t="str">
        <f>LEFT(A269,5)</f>
        <v>22. 3</v>
      </c>
      <c r="C269" s="103">
        <f t="shared" ref="C269:D269" si="162">C267</f>
        <v>-46550</v>
      </c>
      <c r="D269" s="99">
        <f t="shared" si="162"/>
        <v>0</v>
      </c>
      <c r="E269" s="35">
        <f>E267</f>
        <v>0</v>
      </c>
      <c r="F269" s="35">
        <f t="shared" ref="F269:P269" si="163">F267</f>
        <v>0</v>
      </c>
      <c r="G269" s="35">
        <f t="shared" si="163"/>
        <v>0</v>
      </c>
      <c r="H269" s="35">
        <f t="shared" si="163"/>
        <v>0</v>
      </c>
      <c r="I269" s="35">
        <f t="shared" si="163"/>
        <v>38000</v>
      </c>
      <c r="J269" s="35">
        <f t="shared" si="163"/>
        <v>-38000</v>
      </c>
      <c r="K269" s="35">
        <f t="shared" si="163"/>
        <v>0</v>
      </c>
      <c r="L269" s="35">
        <f t="shared" si="163"/>
        <v>0</v>
      </c>
      <c r="M269" s="35">
        <f t="shared" si="163"/>
        <v>0</v>
      </c>
      <c r="N269" s="35">
        <f t="shared" si="163"/>
        <v>0</v>
      </c>
      <c r="O269" s="35">
        <f t="shared" si="163"/>
        <v>38000</v>
      </c>
      <c r="P269" s="35">
        <f t="shared" si="163"/>
        <v>-38000</v>
      </c>
    </row>
    <row r="270" spans="1:20" x14ac:dyDescent="0.25">
      <c r="C270" s="104"/>
      <c r="D270" s="100"/>
      <c r="E270" s="34"/>
      <c r="F270" s="34"/>
      <c r="G270" s="34">
        <f t="shared" si="157"/>
        <v>0</v>
      </c>
      <c r="H270" s="34"/>
      <c r="I270" s="34"/>
      <c r="J270" s="34">
        <f t="shared" si="158"/>
        <v>0</v>
      </c>
      <c r="K270" s="34"/>
      <c r="L270" s="34"/>
      <c r="M270" s="34">
        <f t="shared" si="159"/>
        <v>0</v>
      </c>
      <c r="N270" s="34">
        <f t="shared" si="160"/>
        <v>0</v>
      </c>
      <c r="O270" s="34">
        <f t="shared" si="161"/>
        <v>0</v>
      </c>
      <c r="P270" s="34"/>
    </row>
    <row r="271" spans="1:20" x14ac:dyDescent="0.25">
      <c r="A271" s="8" t="s">
        <v>167</v>
      </c>
      <c r="B271" s="4" t="str">
        <f>LEFT(A271,4)</f>
        <v>4033</v>
      </c>
      <c r="C271" s="104">
        <v>-4500</v>
      </c>
      <c r="D271" s="100">
        <v>-300</v>
      </c>
      <c r="E271" s="34"/>
      <c r="F271" s="34"/>
      <c r="G271" s="34">
        <f t="shared" si="157"/>
        <v>0</v>
      </c>
      <c r="H271" s="34">
        <f>VLOOKUP($B271,Utility!$A$5:$D$248,3,0)</f>
        <v>0</v>
      </c>
      <c r="I271" s="34">
        <f>VLOOKUP($B271,Utility!$A$5:$D$248,4,0)</f>
        <v>4381.1899999999996</v>
      </c>
      <c r="J271" s="34">
        <f t="shared" si="158"/>
        <v>-4381.1899999999996</v>
      </c>
      <c r="K271" s="34"/>
      <c r="L271" s="34"/>
      <c r="M271" s="34">
        <f t="shared" si="159"/>
        <v>0</v>
      </c>
      <c r="N271" s="34">
        <f t="shared" si="160"/>
        <v>0</v>
      </c>
      <c r="O271" s="34">
        <f t="shared" si="161"/>
        <v>4381.1899999999996</v>
      </c>
      <c r="P271" s="34">
        <f t="shared" ref="P271:P335" si="164">IF(N271&gt;0,N271,-O271)</f>
        <v>-4381.1899999999996</v>
      </c>
    </row>
    <row r="272" spans="1:20" x14ac:dyDescent="0.25">
      <c r="A272" s="8" t="s">
        <v>168</v>
      </c>
      <c r="B272" s="4" t="str">
        <f>LEFT(A272,4)</f>
        <v>4231</v>
      </c>
      <c r="C272" s="104">
        <v>-2250</v>
      </c>
      <c r="D272" s="100">
        <v>-200</v>
      </c>
      <c r="E272" s="34"/>
      <c r="F272" s="34"/>
      <c r="G272" s="34">
        <f t="shared" si="157"/>
        <v>0</v>
      </c>
      <c r="H272" s="34">
        <f>VLOOKUP($B272,Utility!$A$5:$D$248,3,0)</f>
        <v>0</v>
      </c>
      <c r="I272" s="34">
        <f>VLOOKUP($B272,Utility!$A$5:$D$248,4,0)</f>
        <v>2129.87</v>
      </c>
      <c r="J272" s="34">
        <f t="shared" si="158"/>
        <v>-2129.87</v>
      </c>
      <c r="K272" s="34"/>
      <c r="L272" s="34"/>
      <c r="M272" s="34">
        <f t="shared" si="159"/>
        <v>0</v>
      </c>
      <c r="N272" s="34">
        <f t="shared" si="160"/>
        <v>0</v>
      </c>
      <c r="O272" s="34">
        <f t="shared" si="161"/>
        <v>2129.87</v>
      </c>
      <c r="P272" s="34">
        <f t="shared" si="164"/>
        <v>-2129.87</v>
      </c>
    </row>
    <row r="273" spans="1:16" x14ac:dyDescent="0.25">
      <c r="A273" s="8" t="s">
        <v>8</v>
      </c>
      <c r="C273" s="103">
        <f t="shared" ref="C273:D273" si="165">SUM(C271:C272)</f>
        <v>-6750</v>
      </c>
      <c r="D273" s="99">
        <f t="shared" si="165"/>
        <v>-500</v>
      </c>
      <c r="E273" s="35">
        <f>SUM(E271:E272)</f>
        <v>0</v>
      </c>
      <c r="F273" s="35">
        <f t="shared" ref="F273:P273" si="166">SUM(F271:F272)</f>
        <v>0</v>
      </c>
      <c r="G273" s="35">
        <f t="shared" si="166"/>
        <v>0</v>
      </c>
      <c r="H273" s="35">
        <f t="shared" si="166"/>
        <v>0</v>
      </c>
      <c r="I273" s="35">
        <f t="shared" si="166"/>
        <v>6511.0599999999995</v>
      </c>
      <c r="J273" s="35">
        <f t="shared" si="166"/>
        <v>-6511.0599999999995</v>
      </c>
      <c r="K273" s="35">
        <f t="shared" si="166"/>
        <v>0</v>
      </c>
      <c r="L273" s="35">
        <f t="shared" si="166"/>
        <v>0</v>
      </c>
      <c r="M273" s="35">
        <f t="shared" si="166"/>
        <v>0</v>
      </c>
      <c r="N273" s="35">
        <f t="shared" si="166"/>
        <v>0</v>
      </c>
      <c r="O273" s="35">
        <f t="shared" si="166"/>
        <v>6511.0599999999995</v>
      </c>
      <c r="P273" s="35">
        <f t="shared" si="166"/>
        <v>-6511.0599999999995</v>
      </c>
    </row>
    <row r="274" spans="1:16" x14ac:dyDescent="0.25">
      <c r="C274" s="104"/>
      <c r="D274" s="100"/>
      <c r="E274" s="34"/>
      <c r="F274" s="34"/>
      <c r="G274" s="34">
        <f t="shared" si="157"/>
        <v>0</v>
      </c>
      <c r="H274" s="34"/>
      <c r="I274" s="34"/>
      <c r="J274" s="34">
        <f t="shared" si="158"/>
        <v>0</v>
      </c>
      <c r="K274" s="34"/>
      <c r="L274" s="34"/>
      <c r="M274" s="34">
        <f t="shared" si="159"/>
        <v>0</v>
      </c>
      <c r="N274" s="34">
        <f t="shared" si="160"/>
        <v>0</v>
      </c>
      <c r="O274" s="34">
        <f t="shared" si="161"/>
        <v>0</v>
      </c>
      <c r="P274" s="34"/>
    </row>
    <row r="275" spans="1:16" x14ac:dyDescent="0.25">
      <c r="A275" s="9" t="s">
        <v>169</v>
      </c>
      <c r="B275" s="12" t="str">
        <f>LEFT(A275,5)</f>
        <v>22. 5</v>
      </c>
      <c r="C275" s="103">
        <f t="shared" ref="C275:D275" si="167">C273</f>
        <v>-6750</v>
      </c>
      <c r="D275" s="99">
        <f t="shared" si="167"/>
        <v>-500</v>
      </c>
      <c r="E275" s="35">
        <f>E273</f>
        <v>0</v>
      </c>
      <c r="F275" s="35">
        <f t="shared" ref="F275:P275" si="168">F273</f>
        <v>0</v>
      </c>
      <c r="G275" s="35">
        <f t="shared" si="168"/>
        <v>0</v>
      </c>
      <c r="H275" s="35">
        <f t="shared" si="168"/>
        <v>0</v>
      </c>
      <c r="I275" s="35">
        <f t="shared" si="168"/>
        <v>6511.0599999999995</v>
      </c>
      <c r="J275" s="35">
        <f t="shared" si="168"/>
        <v>-6511.0599999999995</v>
      </c>
      <c r="K275" s="35">
        <f t="shared" si="168"/>
        <v>0</v>
      </c>
      <c r="L275" s="35">
        <f t="shared" si="168"/>
        <v>0</v>
      </c>
      <c r="M275" s="35">
        <f t="shared" si="168"/>
        <v>0</v>
      </c>
      <c r="N275" s="35">
        <f t="shared" si="168"/>
        <v>0</v>
      </c>
      <c r="O275" s="35">
        <f t="shared" si="168"/>
        <v>6511.0599999999995</v>
      </c>
      <c r="P275" s="35">
        <f t="shared" si="168"/>
        <v>-6511.0599999999995</v>
      </c>
    </row>
    <row r="276" spans="1:16" x14ac:dyDescent="0.25">
      <c r="C276" s="104"/>
      <c r="D276" s="100"/>
      <c r="E276" s="34"/>
      <c r="F276" s="34"/>
      <c r="G276" s="34">
        <f t="shared" si="157"/>
        <v>0</v>
      </c>
      <c r="H276" s="34"/>
      <c r="I276" s="34"/>
      <c r="J276" s="34">
        <f t="shared" si="158"/>
        <v>0</v>
      </c>
      <c r="K276" s="34"/>
      <c r="L276" s="34"/>
      <c r="M276" s="34">
        <f t="shared" si="159"/>
        <v>0</v>
      </c>
      <c r="N276" s="34">
        <f t="shared" si="160"/>
        <v>0</v>
      </c>
      <c r="O276" s="34">
        <f t="shared" si="161"/>
        <v>0</v>
      </c>
      <c r="P276" s="34"/>
    </row>
    <row r="277" spans="1:16" x14ac:dyDescent="0.25">
      <c r="A277" s="8" t="s">
        <v>170</v>
      </c>
      <c r="B277" s="4" t="str">
        <f>LEFT(A277,4)</f>
        <v>4251</v>
      </c>
      <c r="C277" s="104">
        <v>-400</v>
      </c>
      <c r="D277" s="100">
        <v>0</v>
      </c>
      <c r="E277" s="34"/>
      <c r="F277" s="34"/>
      <c r="G277" s="34">
        <f t="shared" si="157"/>
        <v>0</v>
      </c>
      <c r="H277" s="34">
        <f>VLOOKUP($B277,Utility!$A$5:$D$248,3,0)</f>
        <v>0</v>
      </c>
      <c r="I277" s="34">
        <f>VLOOKUP($B277,Utility!$A$5:$D$248,4,0)</f>
        <v>800</v>
      </c>
      <c r="J277" s="34">
        <f t="shared" si="158"/>
        <v>-800</v>
      </c>
      <c r="K277" s="34"/>
      <c r="L277" s="34"/>
      <c r="M277" s="34">
        <f t="shared" si="159"/>
        <v>0</v>
      </c>
      <c r="N277" s="34">
        <f t="shared" si="160"/>
        <v>0</v>
      </c>
      <c r="O277" s="34">
        <f t="shared" si="161"/>
        <v>800</v>
      </c>
      <c r="P277" s="34">
        <f t="shared" si="164"/>
        <v>-800</v>
      </c>
    </row>
    <row r="278" spans="1:16" x14ac:dyDescent="0.25">
      <c r="A278" s="8" t="s">
        <v>8</v>
      </c>
      <c r="C278" s="103">
        <f t="shared" ref="C278:D278" si="169">C277</f>
        <v>-400</v>
      </c>
      <c r="D278" s="99">
        <f t="shared" si="169"/>
        <v>0</v>
      </c>
      <c r="E278" s="35">
        <f>E277</f>
        <v>0</v>
      </c>
      <c r="F278" s="35">
        <f t="shared" ref="F278:P278" si="170">F277</f>
        <v>0</v>
      </c>
      <c r="G278" s="35">
        <f t="shared" si="170"/>
        <v>0</v>
      </c>
      <c r="H278" s="35">
        <f t="shared" si="170"/>
        <v>0</v>
      </c>
      <c r="I278" s="35">
        <f t="shared" si="170"/>
        <v>800</v>
      </c>
      <c r="J278" s="35">
        <f t="shared" si="170"/>
        <v>-800</v>
      </c>
      <c r="K278" s="35">
        <f t="shared" si="170"/>
        <v>0</v>
      </c>
      <c r="L278" s="35">
        <f t="shared" si="170"/>
        <v>0</v>
      </c>
      <c r="M278" s="35">
        <f t="shared" si="170"/>
        <v>0</v>
      </c>
      <c r="N278" s="35">
        <f t="shared" si="170"/>
        <v>0</v>
      </c>
      <c r="O278" s="35">
        <f t="shared" si="170"/>
        <v>800</v>
      </c>
      <c r="P278" s="35">
        <f t="shared" si="170"/>
        <v>-800</v>
      </c>
    </row>
    <row r="279" spans="1:16" x14ac:dyDescent="0.25">
      <c r="C279" s="104"/>
      <c r="D279" s="100"/>
      <c r="E279" s="34"/>
      <c r="F279" s="34"/>
      <c r="G279" s="34">
        <f t="shared" si="157"/>
        <v>0</v>
      </c>
      <c r="H279" s="34"/>
      <c r="I279" s="34"/>
      <c r="J279" s="34">
        <f t="shared" si="158"/>
        <v>0</v>
      </c>
      <c r="K279" s="34"/>
      <c r="L279" s="34"/>
      <c r="M279" s="34">
        <f t="shared" si="159"/>
        <v>0</v>
      </c>
      <c r="N279" s="34">
        <f t="shared" si="160"/>
        <v>0</v>
      </c>
      <c r="O279" s="34">
        <f t="shared" si="161"/>
        <v>0</v>
      </c>
      <c r="P279" s="34"/>
    </row>
    <row r="280" spans="1:16" x14ac:dyDescent="0.25">
      <c r="A280" s="9" t="s">
        <v>171</v>
      </c>
      <c r="B280" s="12" t="str">
        <f>LEFT(A280,5)</f>
        <v>22. 6</v>
      </c>
      <c r="C280" s="103">
        <f t="shared" ref="C280:D280" si="171">C278</f>
        <v>-400</v>
      </c>
      <c r="D280" s="99">
        <f t="shared" si="171"/>
        <v>0</v>
      </c>
      <c r="E280" s="35">
        <f>E278</f>
        <v>0</v>
      </c>
      <c r="F280" s="35">
        <f t="shared" ref="F280:P280" si="172">F278</f>
        <v>0</v>
      </c>
      <c r="G280" s="35">
        <f t="shared" si="172"/>
        <v>0</v>
      </c>
      <c r="H280" s="35">
        <f t="shared" si="172"/>
        <v>0</v>
      </c>
      <c r="I280" s="35">
        <f t="shared" si="172"/>
        <v>800</v>
      </c>
      <c r="J280" s="35">
        <f t="shared" si="172"/>
        <v>-800</v>
      </c>
      <c r="K280" s="35">
        <f t="shared" si="172"/>
        <v>0</v>
      </c>
      <c r="L280" s="35">
        <f t="shared" si="172"/>
        <v>0</v>
      </c>
      <c r="M280" s="35">
        <f t="shared" si="172"/>
        <v>0</v>
      </c>
      <c r="N280" s="35">
        <f t="shared" si="172"/>
        <v>0</v>
      </c>
      <c r="O280" s="35">
        <f t="shared" si="172"/>
        <v>800</v>
      </c>
      <c r="P280" s="35">
        <f t="shared" si="172"/>
        <v>-800</v>
      </c>
    </row>
    <row r="281" spans="1:16" x14ac:dyDescent="0.25">
      <c r="C281" s="104"/>
      <c r="D281" s="100"/>
      <c r="E281" s="34"/>
      <c r="F281" s="34"/>
      <c r="G281" s="34">
        <f t="shared" si="157"/>
        <v>0</v>
      </c>
      <c r="H281" s="34"/>
      <c r="I281" s="34"/>
      <c r="J281" s="34">
        <f t="shared" si="158"/>
        <v>0</v>
      </c>
      <c r="K281" s="34"/>
      <c r="L281" s="34"/>
      <c r="M281" s="34">
        <f t="shared" si="159"/>
        <v>0</v>
      </c>
      <c r="N281" s="34">
        <f t="shared" si="160"/>
        <v>0</v>
      </c>
      <c r="O281" s="34">
        <f t="shared" si="161"/>
        <v>0</v>
      </c>
      <c r="P281" s="34"/>
    </row>
    <row r="282" spans="1:16" x14ac:dyDescent="0.25">
      <c r="A282" s="8" t="s">
        <v>172</v>
      </c>
      <c r="B282" s="4" t="str">
        <f>LEFT(A282,4)</f>
        <v>4200</v>
      </c>
      <c r="C282" s="104">
        <v>0</v>
      </c>
      <c r="D282" s="100">
        <v>0</v>
      </c>
      <c r="E282" s="34"/>
      <c r="F282" s="34"/>
      <c r="G282" s="34">
        <f t="shared" si="157"/>
        <v>0</v>
      </c>
      <c r="H282" s="34"/>
      <c r="I282" s="34"/>
      <c r="J282" s="34">
        <f t="shared" si="158"/>
        <v>0</v>
      </c>
      <c r="K282" s="34">
        <f>VLOOKUP($B282,Arena_Sage!$A$5:$D$189,3,0)</f>
        <v>0</v>
      </c>
      <c r="L282" s="34">
        <f>VLOOKUP($B282,Arena_Sage!$A$5:$D$189,4,0)</f>
        <v>0</v>
      </c>
      <c r="M282" s="34">
        <f t="shared" si="159"/>
        <v>0</v>
      </c>
      <c r="N282" s="34">
        <f t="shared" si="160"/>
        <v>0</v>
      </c>
      <c r="O282" s="34">
        <f t="shared" si="161"/>
        <v>0</v>
      </c>
      <c r="P282" s="34">
        <f t="shared" si="164"/>
        <v>0</v>
      </c>
    </row>
    <row r="283" spans="1:16" x14ac:dyDescent="0.25">
      <c r="A283" s="8" t="s">
        <v>2063</v>
      </c>
      <c r="B283" s="4" t="str">
        <f>LEFT(A283,4)</f>
        <v>4120</v>
      </c>
      <c r="C283" s="104">
        <v>-1200</v>
      </c>
      <c r="D283" s="100">
        <v>0</v>
      </c>
      <c r="E283" s="34"/>
      <c r="F283" s="34"/>
      <c r="G283" s="34">
        <f t="shared" si="157"/>
        <v>0</v>
      </c>
      <c r="H283" s="34"/>
      <c r="I283" s="34"/>
      <c r="J283" s="34">
        <f t="shared" si="158"/>
        <v>0</v>
      </c>
      <c r="K283" s="34">
        <f>VLOOKUP($B283,Arena_Sage!$A$5:$D$189,3,0)</f>
        <v>0</v>
      </c>
      <c r="L283" s="34">
        <f>VLOOKUP($B283,Arena_Sage!$A$5:$D$189,4,0)</f>
        <v>1135</v>
      </c>
      <c r="M283" s="34">
        <f t="shared" ref="M283" si="173">IF(K283&gt;0,K283,-L283)</f>
        <v>-1135</v>
      </c>
      <c r="N283" s="34">
        <f t="shared" ref="N283" si="174">E283+H283+K283</f>
        <v>0</v>
      </c>
      <c r="O283" s="34">
        <f t="shared" ref="O283" si="175">F283+I283+L283</f>
        <v>1135</v>
      </c>
      <c r="P283" s="34">
        <f t="shared" ref="P283" si="176">IF(N283&gt;0,N283,-O283)</f>
        <v>-1135</v>
      </c>
    </row>
    <row r="284" spans="1:16" x14ac:dyDescent="0.25">
      <c r="A284" s="8" t="s">
        <v>12</v>
      </c>
      <c r="C284" s="103">
        <f t="shared" ref="C284:D284" si="177">SUM(C282:C283)</f>
        <v>-1200</v>
      </c>
      <c r="D284" s="99">
        <f t="shared" si="177"/>
        <v>0</v>
      </c>
      <c r="E284" s="35">
        <f>SUM(E282:E283)</f>
        <v>0</v>
      </c>
      <c r="F284" s="35">
        <f t="shared" ref="F284:P284" si="178">SUM(F282:F283)</f>
        <v>0</v>
      </c>
      <c r="G284" s="35">
        <f t="shared" si="178"/>
        <v>0</v>
      </c>
      <c r="H284" s="35">
        <f t="shared" si="178"/>
        <v>0</v>
      </c>
      <c r="I284" s="35">
        <f t="shared" si="178"/>
        <v>0</v>
      </c>
      <c r="J284" s="35">
        <f t="shared" si="178"/>
        <v>0</v>
      </c>
      <c r="K284" s="35">
        <f t="shared" si="178"/>
        <v>0</v>
      </c>
      <c r="L284" s="35">
        <f t="shared" si="178"/>
        <v>1135</v>
      </c>
      <c r="M284" s="35">
        <f t="shared" si="178"/>
        <v>-1135</v>
      </c>
      <c r="N284" s="35">
        <f t="shared" si="178"/>
        <v>0</v>
      </c>
      <c r="O284" s="35">
        <f t="shared" si="178"/>
        <v>1135</v>
      </c>
      <c r="P284" s="35">
        <f t="shared" si="178"/>
        <v>-1135</v>
      </c>
    </row>
    <row r="285" spans="1:16" x14ac:dyDescent="0.25">
      <c r="C285" s="104"/>
      <c r="D285" s="100"/>
      <c r="E285" s="34"/>
      <c r="F285" s="34"/>
      <c r="G285" s="34">
        <f t="shared" si="157"/>
        <v>0</v>
      </c>
      <c r="H285" s="34"/>
      <c r="I285" s="34"/>
      <c r="J285" s="34">
        <f t="shared" si="158"/>
        <v>0</v>
      </c>
      <c r="K285" s="34"/>
      <c r="L285" s="34"/>
      <c r="M285" s="34">
        <f t="shared" si="159"/>
        <v>0</v>
      </c>
      <c r="N285" s="34">
        <f t="shared" si="160"/>
        <v>0</v>
      </c>
      <c r="O285" s="34">
        <f t="shared" si="161"/>
        <v>0</v>
      </c>
      <c r="P285" s="34"/>
    </row>
    <row r="286" spans="1:16" x14ac:dyDescent="0.25">
      <c r="A286" s="9" t="s">
        <v>173</v>
      </c>
      <c r="B286" s="12" t="str">
        <f>LEFT(A286,5)</f>
        <v>23. 1</v>
      </c>
      <c r="C286" s="103">
        <f t="shared" ref="C286:D286" si="179">C284</f>
        <v>-1200</v>
      </c>
      <c r="D286" s="99">
        <f t="shared" si="179"/>
        <v>0</v>
      </c>
      <c r="E286" s="35">
        <f>E284</f>
        <v>0</v>
      </c>
      <c r="F286" s="35">
        <f t="shared" ref="F286:P286" si="180">F284</f>
        <v>0</v>
      </c>
      <c r="G286" s="35">
        <f t="shared" si="180"/>
        <v>0</v>
      </c>
      <c r="H286" s="35">
        <f t="shared" si="180"/>
        <v>0</v>
      </c>
      <c r="I286" s="35">
        <f t="shared" si="180"/>
        <v>0</v>
      </c>
      <c r="J286" s="35">
        <f t="shared" si="180"/>
        <v>0</v>
      </c>
      <c r="K286" s="35">
        <f t="shared" si="180"/>
        <v>0</v>
      </c>
      <c r="L286" s="35">
        <f>L284</f>
        <v>1135</v>
      </c>
      <c r="M286" s="35">
        <f t="shared" si="180"/>
        <v>-1135</v>
      </c>
      <c r="N286" s="35">
        <f t="shared" si="180"/>
        <v>0</v>
      </c>
      <c r="O286" s="35">
        <f t="shared" si="180"/>
        <v>1135</v>
      </c>
      <c r="P286" s="35">
        <f t="shared" si="180"/>
        <v>-1135</v>
      </c>
    </row>
    <row r="287" spans="1:16" x14ac:dyDescent="0.25">
      <c r="C287" s="104"/>
      <c r="D287" s="100"/>
      <c r="E287" s="34"/>
      <c r="F287" s="34"/>
      <c r="G287" s="34">
        <f t="shared" si="157"/>
        <v>0</v>
      </c>
      <c r="H287" s="34"/>
      <c r="I287" s="34"/>
      <c r="J287" s="34">
        <f t="shared" si="158"/>
        <v>0</v>
      </c>
      <c r="K287" s="34"/>
      <c r="L287" s="34"/>
      <c r="M287" s="34">
        <f t="shared" si="159"/>
        <v>0</v>
      </c>
      <c r="N287" s="34">
        <f t="shared" si="160"/>
        <v>0</v>
      </c>
      <c r="O287" s="34">
        <f t="shared" si="161"/>
        <v>0</v>
      </c>
      <c r="P287" s="34"/>
    </row>
    <row r="288" spans="1:16" x14ac:dyDescent="0.25">
      <c r="A288" s="8" t="s">
        <v>174</v>
      </c>
      <c r="B288" s="4" t="str">
        <f t="shared" ref="B288:B297" si="181">LEFT(A288,4)</f>
        <v>4002</v>
      </c>
      <c r="C288" s="104"/>
      <c r="D288" s="100"/>
      <c r="E288" s="34"/>
      <c r="F288" s="34"/>
      <c r="G288" s="34">
        <f t="shared" si="157"/>
        <v>0</v>
      </c>
      <c r="H288" s="34"/>
      <c r="I288" s="34"/>
      <c r="J288" s="34">
        <f t="shared" si="158"/>
        <v>0</v>
      </c>
      <c r="K288" s="34">
        <f>VLOOKUP($B288,Arena_Sage!$A$5:$D$189,3,0)</f>
        <v>0</v>
      </c>
      <c r="L288" s="34">
        <f>VLOOKUP($B288,Arena_Sage!$A$5:$D$189,4,0)</f>
        <v>40</v>
      </c>
      <c r="M288" s="34">
        <f t="shared" si="159"/>
        <v>-40</v>
      </c>
      <c r="N288" s="34">
        <f t="shared" si="160"/>
        <v>0</v>
      </c>
      <c r="O288" s="34">
        <f t="shared" si="161"/>
        <v>40</v>
      </c>
      <c r="P288" s="34">
        <f t="shared" si="164"/>
        <v>-40</v>
      </c>
    </row>
    <row r="289" spans="1:22" x14ac:dyDescent="0.25">
      <c r="A289" s="8" t="s">
        <v>175</v>
      </c>
      <c r="B289" s="4" t="str">
        <f t="shared" si="181"/>
        <v>4010</v>
      </c>
      <c r="C289" s="104">
        <v>-42000</v>
      </c>
      <c r="D289" s="100">
        <v>-6000</v>
      </c>
      <c r="E289" s="34"/>
      <c r="F289" s="34"/>
      <c r="G289" s="34">
        <f t="shared" si="157"/>
        <v>0</v>
      </c>
      <c r="H289" s="34"/>
      <c r="I289" s="34"/>
      <c r="J289" s="34">
        <f t="shared" si="158"/>
        <v>0</v>
      </c>
      <c r="K289" s="34">
        <f>VLOOKUP($B289,Arena_Sage!$A$5:$D$189,3,0)</f>
        <v>0</v>
      </c>
      <c r="L289" s="34">
        <f>VLOOKUP($B289,Arena_Sage!$A$5:$D$189,4,0)</f>
        <v>34258.629999999997</v>
      </c>
      <c r="M289" s="34">
        <f t="shared" si="159"/>
        <v>-34258.629999999997</v>
      </c>
      <c r="N289" s="34">
        <f t="shared" si="160"/>
        <v>0</v>
      </c>
      <c r="O289" s="34">
        <f t="shared" si="161"/>
        <v>34258.629999999997</v>
      </c>
      <c r="P289" s="34">
        <f t="shared" si="164"/>
        <v>-34258.629999999997</v>
      </c>
      <c r="R289" s="4" t="s">
        <v>2103</v>
      </c>
    </row>
    <row r="290" spans="1:22" x14ac:dyDescent="0.25">
      <c r="A290" s="8" t="s">
        <v>176</v>
      </c>
      <c r="B290" s="4" t="str">
        <f t="shared" si="181"/>
        <v>4030</v>
      </c>
      <c r="C290" s="104"/>
      <c r="D290" s="100"/>
      <c r="E290" s="34"/>
      <c r="F290" s="34"/>
      <c r="G290" s="34">
        <f t="shared" si="157"/>
        <v>0</v>
      </c>
      <c r="H290" s="34"/>
      <c r="I290" s="34"/>
      <c r="J290" s="34">
        <f t="shared" si="158"/>
        <v>0</v>
      </c>
      <c r="K290" s="34">
        <f>VLOOKUP($B290,Arena_Sage!$A$5:$D$189,3,0)</f>
        <v>0</v>
      </c>
      <c r="L290" s="34">
        <f>VLOOKUP($B290,Arena_Sage!$A$5:$D$189,4,0)</f>
        <v>0</v>
      </c>
      <c r="M290" s="34">
        <f t="shared" si="159"/>
        <v>0</v>
      </c>
      <c r="N290" s="34">
        <f t="shared" si="160"/>
        <v>0</v>
      </c>
      <c r="O290" s="34">
        <f t="shared" si="161"/>
        <v>0</v>
      </c>
      <c r="P290" s="34">
        <f t="shared" si="164"/>
        <v>0</v>
      </c>
      <c r="S290" s="4" t="s">
        <v>2261</v>
      </c>
      <c r="T290" s="4" t="s">
        <v>2262</v>
      </c>
      <c r="U290" s="4" t="s">
        <v>2263</v>
      </c>
      <c r="V290" s="4" t="s">
        <v>2264</v>
      </c>
    </row>
    <row r="291" spans="1:22" x14ac:dyDescent="0.25">
      <c r="A291" s="8" t="s">
        <v>177</v>
      </c>
      <c r="B291" s="4" t="str">
        <f t="shared" si="181"/>
        <v>4040</v>
      </c>
      <c r="C291" s="104"/>
      <c r="D291" s="100"/>
      <c r="E291" s="34"/>
      <c r="F291" s="34"/>
      <c r="G291" s="34">
        <f t="shared" si="157"/>
        <v>0</v>
      </c>
      <c r="H291" s="34"/>
      <c r="I291" s="34"/>
      <c r="J291" s="34">
        <f t="shared" si="158"/>
        <v>0</v>
      </c>
      <c r="K291" s="34">
        <f>VLOOKUP($B291,Arena_Sage!$A$5:$D$189,3,0)</f>
        <v>0</v>
      </c>
      <c r="L291" s="34">
        <f>VLOOKUP($B291,Arena_Sage!$A$5:$D$189,4,0)</f>
        <v>0</v>
      </c>
      <c r="M291" s="34">
        <f t="shared" si="159"/>
        <v>0</v>
      </c>
      <c r="N291" s="34">
        <f t="shared" si="160"/>
        <v>0</v>
      </c>
      <c r="O291" s="34">
        <f t="shared" si="161"/>
        <v>0</v>
      </c>
      <c r="P291" s="34">
        <f t="shared" si="164"/>
        <v>0</v>
      </c>
      <c r="R291" s="4" t="s">
        <v>2259</v>
      </c>
      <c r="S291" s="4">
        <v>5</v>
      </c>
      <c r="T291" s="4">
        <v>10</v>
      </c>
    </row>
    <row r="292" spans="1:22" x14ac:dyDescent="0.25">
      <c r="A292" s="8" t="s">
        <v>178</v>
      </c>
      <c r="B292" s="4" t="str">
        <f t="shared" si="181"/>
        <v>4070</v>
      </c>
      <c r="C292" s="104">
        <v>-28000</v>
      </c>
      <c r="D292" s="100">
        <v>-3000</v>
      </c>
      <c r="E292" s="34"/>
      <c r="F292" s="34"/>
      <c r="G292" s="34">
        <f t="shared" si="157"/>
        <v>0</v>
      </c>
      <c r="H292" s="34"/>
      <c r="I292" s="34"/>
      <c r="J292" s="34">
        <f t="shared" si="158"/>
        <v>0</v>
      </c>
      <c r="K292" s="34">
        <f>VLOOKUP($B292,Arena_Sage!$A$5:$D$189,3,0)</f>
        <v>0</v>
      </c>
      <c r="L292" s="34">
        <f>VLOOKUP($B292,Arena_Sage!$A$5:$D$189,4,0)</f>
        <v>23373.83</v>
      </c>
      <c r="M292" s="34">
        <f t="shared" si="159"/>
        <v>-23373.83</v>
      </c>
      <c r="N292" s="34">
        <f t="shared" si="160"/>
        <v>0</v>
      </c>
      <c r="O292" s="34">
        <f t="shared" si="161"/>
        <v>23373.83</v>
      </c>
      <c r="P292" s="34">
        <f t="shared" si="164"/>
        <v>-23373.83</v>
      </c>
      <c r="R292" s="4" t="s">
        <v>2260</v>
      </c>
      <c r="S292" s="4">
        <v>5</v>
      </c>
      <c r="T292" s="4">
        <v>10</v>
      </c>
    </row>
    <row r="293" spans="1:22" x14ac:dyDescent="0.25">
      <c r="A293" s="8" t="s">
        <v>179</v>
      </c>
      <c r="B293" s="4" t="str">
        <f t="shared" si="181"/>
        <v>4075</v>
      </c>
      <c r="C293" s="104"/>
      <c r="D293" s="100"/>
      <c r="E293" s="34"/>
      <c r="F293" s="34"/>
      <c r="G293" s="34">
        <f t="shared" si="157"/>
        <v>0</v>
      </c>
      <c r="H293" s="34"/>
      <c r="I293" s="34"/>
      <c r="J293" s="34">
        <f t="shared" si="158"/>
        <v>0</v>
      </c>
      <c r="K293" s="34">
        <f>VLOOKUP($B293,Arena_Sage!$A$5:$D$189,3,0)</f>
        <v>0</v>
      </c>
      <c r="L293" s="34">
        <f>VLOOKUP($B293,Arena_Sage!$A$5:$D$189,4,0)</f>
        <v>0</v>
      </c>
      <c r="M293" s="34">
        <f t="shared" si="159"/>
        <v>0</v>
      </c>
      <c r="N293" s="34">
        <f t="shared" si="160"/>
        <v>0</v>
      </c>
      <c r="O293" s="34">
        <f t="shared" si="161"/>
        <v>0</v>
      </c>
      <c r="P293" s="34">
        <f t="shared" si="164"/>
        <v>0</v>
      </c>
    </row>
    <row r="294" spans="1:22" x14ac:dyDescent="0.25">
      <c r="A294" s="8" t="s">
        <v>180</v>
      </c>
      <c r="B294" s="4" t="str">
        <f t="shared" si="181"/>
        <v>4085</v>
      </c>
      <c r="C294" s="104"/>
      <c r="D294" s="100"/>
      <c r="E294" s="34"/>
      <c r="F294" s="34"/>
      <c r="G294" s="34">
        <f t="shared" si="157"/>
        <v>0</v>
      </c>
      <c r="H294" s="34"/>
      <c r="I294" s="34"/>
      <c r="J294" s="34">
        <f t="shared" si="158"/>
        <v>0</v>
      </c>
      <c r="K294" s="34">
        <f>VLOOKUP($B294,Arena_Sage!$A$5:$D$189,3,0)</f>
        <v>0</v>
      </c>
      <c r="L294" s="34">
        <f>VLOOKUP($B294,Arena_Sage!$A$5:$D$189,4,0)</f>
        <v>0</v>
      </c>
      <c r="M294" s="34">
        <f t="shared" si="159"/>
        <v>0</v>
      </c>
      <c r="N294" s="34">
        <f t="shared" si="160"/>
        <v>0</v>
      </c>
      <c r="O294" s="34">
        <f t="shared" si="161"/>
        <v>0</v>
      </c>
      <c r="P294" s="34">
        <f t="shared" si="164"/>
        <v>0</v>
      </c>
      <c r="U294" s="4">
        <f>155/150</f>
        <v>1.0333333333333334</v>
      </c>
    </row>
    <row r="295" spans="1:22" x14ac:dyDescent="0.25">
      <c r="A295" s="8" t="s">
        <v>181</v>
      </c>
      <c r="B295" s="4" t="str">
        <f t="shared" si="181"/>
        <v>4150</v>
      </c>
      <c r="C295" s="104"/>
      <c r="D295" s="100"/>
      <c r="E295" s="34"/>
      <c r="F295" s="34"/>
      <c r="G295" s="34">
        <f t="shared" si="157"/>
        <v>0</v>
      </c>
      <c r="H295" s="34"/>
      <c r="I295" s="34"/>
      <c r="J295" s="34">
        <f t="shared" si="158"/>
        <v>0</v>
      </c>
      <c r="K295" s="34">
        <f>VLOOKUP($B295,Arena_Sage!$A$5:$D$189,3,0)</f>
        <v>0</v>
      </c>
      <c r="L295" s="34">
        <f>VLOOKUP($B295,Arena_Sage!$A$5:$D$189,4,0)</f>
        <v>0</v>
      </c>
      <c r="M295" s="34">
        <f t="shared" si="159"/>
        <v>0</v>
      </c>
      <c r="N295" s="34">
        <f t="shared" si="160"/>
        <v>0</v>
      </c>
      <c r="O295" s="34">
        <f t="shared" si="161"/>
        <v>0</v>
      </c>
      <c r="P295" s="34">
        <f t="shared" si="164"/>
        <v>0</v>
      </c>
      <c r="U295" s="4">
        <f>180/170</f>
        <v>1.0588235294117647</v>
      </c>
    </row>
    <row r="296" spans="1:22" x14ac:dyDescent="0.25">
      <c r="A296" s="8" t="s">
        <v>182</v>
      </c>
      <c r="B296" s="4" t="str">
        <f t="shared" si="181"/>
        <v>4420</v>
      </c>
      <c r="C296" s="104"/>
      <c r="D296" s="100"/>
      <c r="E296" s="34"/>
      <c r="F296" s="34"/>
      <c r="G296" s="34">
        <f t="shared" si="157"/>
        <v>0</v>
      </c>
      <c r="H296" s="34"/>
      <c r="I296" s="34"/>
      <c r="J296" s="34">
        <f t="shared" si="158"/>
        <v>0</v>
      </c>
      <c r="K296" s="34">
        <f>VLOOKUP($B296,Arena_Sage!$A$5:$D$189,3,0)</f>
        <v>0</v>
      </c>
      <c r="L296" s="34">
        <f>VLOOKUP($B296,Arena_Sage!$A$5:$D$189,4,0)</f>
        <v>0</v>
      </c>
      <c r="M296" s="34">
        <f t="shared" si="159"/>
        <v>0</v>
      </c>
      <c r="N296" s="34">
        <f t="shared" si="160"/>
        <v>0</v>
      </c>
      <c r="O296" s="34">
        <f t="shared" si="161"/>
        <v>0</v>
      </c>
      <c r="P296" s="34">
        <f t="shared" si="164"/>
        <v>0</v>
      </c>
    </row>
    <row r="297" spans="1:22" x14ac:dyDescent="0.25">
      <c r="A297" s="8" t="s">
        <v>2064</v>
      </c>
      <c r="B297" s="4" t="str">
        <f t="shared" si="181"/>
        <v>4100</v>
      </c>
      <c r="C297" s="104"/>
      <c r="D297" s="100"/>
      <c r="E297" s="34"/>
      <c r="F297" s="34"/>
      <c r="G297" s="34">
        <f t="shared" si="157"/>
        <v>0</v>
      </c>
      <c r="H297" s="34"/>
      <c r="I297" s="34"/>
      <c r="J297" s="34">
        <f t="shared" si="158"/>
        <v>0</v>
      </c>
      <c r="K297" s="34">
        <f>VLOOKUP($B297,Arena_Sage!$A$5:$D$189,3,0)</f>
        <v>0</v>
      </c>
      <c r="L297" s="34">
        <f>VLOOKUP($B297,Arena_Sage!$A$5:$D$189,4,0)</f>
        <v>260.87</v>
      </c>
      <c r="M297" s="34">
        <f t="shared" ref="M297" si="182">IF(K297&gt;0,K297,-L297)</f>
        <v>-260.87</v>
      </c>
      <c r="N297" s="34">
        <f t="shared" ref="N297" si="183">E297+H297+K297</f>
        <v>0</v>
      </c>
      <c r="O297" s="34">
        <f t="shared" ref="O297" si="184">F297+I297+L297</f>
        <v>260.87</v>
      </c>
      <c r="P297" s="34">
        <f t="shared" ref="P297" si="185">IF(N297&gt;0,N297,-O297)</f>
        <v>-260.87</v>
      </c>
    </row>
    <row r="298" spans="1:22" x14ac:dyDescent="0.25">
      <c r="A298" s="8" t="s">
        <v>12</v>
      </c>
      <c r="C298" s="103">
        <f t="shared" ref="C298:D298" si="186">SUM(C288:C297)</f>
        <v>-70000</v>
      </c>
      <c r="D298" s="99">
        <f t="shared" si="186"/>
        <v>-9000</v>
      </c>
      <c r="E298" s="35">
        <f>SUM(E288:E297)</f>
        <v>0</v>
      </c>
      <c r="F298" s="35">
        <f t="shared" ref="F298:P298" si="187">SUM(F288:F297)</f>
        <v>0</v>
      </c>
      <c r="G298" s="35">
        <f t="shared" si="187"/>
        <v>0</v>
      </c>
      <c r="H298" s="35">
        <f t="shared" si="187"/>
        <v>0</v>
      </c>
      <c r="I298" s="35">
        <f t="shared" si="187"/>
        <v>0</v>
      </c>
      <c r="J298" s="35">
        <f t="shared" si="187"/>
        <v>0</v>
      </c>
      <c r="K298" s="35">
        <f t="shared" si="187"/>
        <v>0</v>
      </c>
      <c r="L298" s="35">
        <f t="shared" si="187"/>
        <v>57933.33</v>
      </c>
      <c r="M298" s="35">
        <f t="shared" si="187"/>
        <v>-57933.33</v>
      </c>
      <c r="N298" s="35">
        <f t="shared" si="187"/>
        <v>0</v>
      </c>
      <c r="O298" s="35">
        <f t="shared" si="187"/>
        <v>57933.33</v>
      </c>
      <c r="P298" s="35">
        <f t="shared" si="187"/>
        <v>-57933.33</v>
      </c>
    </row>
    <row r="299" spans="1:22" x14ac:dyDescent="0.25">
      <c r="C299" s="104"/>
      <c r="D299" s="100"/>
      <c r="E299" s="34"/>
      <c r="F299" s="34"/>
      <c r="G299" s="34">
        <f t="shared" si="157"/>
        <v>0</v>
      </c>
      <c r="H299" s="34"/>
      <c r="I299" s="34"/>
      <c r="J299" s="34">
        <f t="shared" si="158"/>
        <v>0</v>
      </c>
      <c r="K299" s="34"/>
      <c r="L299" s="34"/>
      <c r="M299" s="34">
        <f t="shared" si="159"/>
        <v>0</v>
      </c>
      <c r="N299" s="34">
        <f t="shared" si="160"/>
        <v>0</v>
      </c>
      <c r="O299" s="34">
        <f t="shared" si="161"/>
        <v>0</v>
      </c>
      <c r="P299" s="34"/>
    </row>
    <row r="300" spans="1:22" x14ac:dyDescent="0.25">
      <c r="A300" s="9" t="s">
        <v>183</v>
      </c>
      <c r="B300" s="12" t="str">
        <f>LEFT(A300,5)</f>
        <v>23. 2</v>
      </c>
      <c r="C300" s="103">
        <f t="shared" ref="C300:D300" si="188">C298</f>
        <v>-70000</v>
      </c>
      <c r="D300" s="99">
        <f t="shared" si="188"/>
        <v>-9000</v>
      </c>
      <c r="E300" s="35">
        <f>E298</f>
        <v>0</v>
      </c>
      <c r="F300" s="35">
        <f t="shared" ref="F300:P300" si="189">F298</f>
        <v>0</v>
      </c>
      <c r="G300" s="35">
        <f t="shared" si="189"/>
        <v>0</v>
      </c>
      <c r="H300" s="35">
        <f t="shared" si="189"/>
        <v>0</v>
      </c>
      <c r="I300" s="35">
        <f t="shared" si="189"/>
        <v>0</v>
      </c>
      <c r="J300" s="35">
        <f t="shared" si="189"/>
        <v>0</v>
      </c>
      <c r="K300" s="35">
        <f t="shared" si="189"/>
        <v>0</v>
      </c>
      <c r="L300" s="35">
        <f t="shared" si="189"/>
        <v>57933.33</v>
      </c>
      <c r="M300" s="35">
        <f t="shared" si="189"/>
        <v>-57933.33</v>
      </c>
      <c r="N300" s="35">
        <f t="shared" si="189"/>
        <v>0</v>
      </c>
      <c r="O300" s="35">
        <f t="shared" si="189"/>
        <v>57933.33</v>
      </c>
      <c r="P300" s="35">
        <f t="shared" si="189"/>
        <v>-57933.33</v>
      </c>
    </row>
    <row r="301" spans="1:22" x14ac:dyDescent="0.25">
      <c r="C301" s="104"/>
      <c r="D301" s="100"/>
      <c r="E301" s="34"/>
      <c r="F301" s="34"/>
      <c r="G301" s="34">
        <f t="shared" si="157"/>
        <v>0</v>
      </c>
      <c r="H301" s="34"/>
      <c r="I301" s="34"/>
      <c r="J301" s="34">
        <f t="shared" si="158"/>
        <v>0</v>
      </c>
      <c r="K301" s="34"/>
      <c r="L301" s="34"/>
      <c r="M301" s="34">
        <f t="shared" si="159"/>
        <v>0</v>
      </c>
      <c r="N301" s="34">
        <f t="shared" si="160"/>
        <v>0</v>
      </c>
      <c r="O301" s="34">
        <f t="shared" si="161"/>
        <v>0</v>
      </c>
      <c r="P301" s="34"/>
    </row>
    <row r="302" spans="1:22" x14ac:dyDescent="0.25">
      <c r="A302" s="8" t="s">
        <v>184</v>
      </c>
      <c r="B302" s="4" t="str">
        <f>LEFT(A302,4)</f>
        <v>4600</v>
      </c>
      <c r="C302" s="104"/>
      <c r="D302" s="100"/>
      <c r="E302" s="34"/>
      <c r="F302" s="34"/>
      <c r="G302" s="34">
        <f t="shared" si="157"/>
        <v>0</v>
      </c>
      <c r="H302" s="34"/>
      <c r="I302" s="34"/>
      <c r="J302" s="34">
        <f t="shared" si="158"/>
        <v>0</v>
      </c>
      <c r="K302" s="34">
        <f>VLOOKUP($B302,Arena_Sage!$A$5:$D$189,3,0)</f>
        <v>0</v>
      </c>
      <c r="L302" s="34">
        <f>VLOOKUP($B302,Arena_Sage!$A$5:$D$189,4,0)</f>
        <v>0</v>
      </c>
      <c r="M302" s="34">
        <f t="shared" si="159"/>
        <v>0</v>
      </c>
      <c r="N302" s="34">
        <f t="shared" si="160"/>
        <v>0</v>
      </c>
      <c r="O302" s="34">
        <f t="shared" si="161"/>
        <v>0</v>
      </c>
      <c r="P302" s="34">
        <f t="shared" si="164"/>
        <v>0</v>
      </c>
    </row>
    <row r="303" spans="1:22" x14ac:dyDescent="0.25">
      <c r="A303" s="8" t="s">
        <v>2045</v>
      </c>
      <c r="B303" s="4" t="str">
        <f>LEFT(A303,4)</f>
        <v>4610</v>
      </c>
      <c r="C303" s="108">
        <v>-1600</v>
      </c>
      <c r="D303" s="100">
        <v>0</v>
      </c>
      <c r="E303" s="34"/>
      <c r="F303" s="34"/>
      <c r="G303" s="34">
        <f t="shared" si="157"/>
        <v>0</v>
      </c>
      <c r="H303" s="34"/>
      <c r="I303" s="34"/>
      <c r="J303" s="34">
        <f t="shared" si="158"/>
        <v>0</v>
      </c>
      <c r="K303" s="34">
        <f>VLOOKUP($B303,Arena_Sage!$A$5:$D$189,3,0)</f>
        <v>0</v>
      </c>
      <c r="L303" s="34">
        <f>VLOOKUP($B303,Arena_Sage!$A$5:$D$189,4,0)</f>
        <v>8435</v>
      </c>
      <c r="M303" s="34">
        <f t="shared" si="159"/>
        <v>-8435</v>
      </c>
      <c r="N303" s="34">
        <f t="shared" ref="N303:N304" si="190">E303+H303+K303</f>
        <v>0</v>
      </c>
      <c r="O303" s="34">
        <f t="shared" ref="O303:O304" si="191">F303+I303+L303</f>
        <v>8435</v>
      </c>
      <c r="P303" s="34">
        <f t="shared" si="164"/>
        <v>-8435</v>
      </c>
      <c r="R303" s="320" t="s">
        <v>2487</v>
      </c>
      <c r="S303" s="4">
        <f>19000/1.15*0.1</f>
        <v>1652.1739130434785</v>
      </c>
    </row>
    <row r="304" spans="1:22" x14ac:dyDescent="0.25">
      <c r="A304" s="8" t="s">
        <v>2046</v>
      </c>
      <c r="B304" s="4" t="str">
        <f>LEFT(A304,4)</f>
        <v>4620</v>
      </c>
      <c r="C304" s="104"/>
      <c r="D304" s="100"/>
      <c r="E304" s="34"/>
      <c r="F304" s="34"/>
      <c r="G304" s="34">
        <f t="shared" si="157"/>
        <v>0</v>
      </c>
      <c r="H304" s="34"/>
      <c r="I304" s="34"/>
      <c r="J304" s="34">
        <f t="shared" si="158"/>
        <v>0</v>
      </c>
      <c r="K304" s="34">
        <f>VLOOKUP($B304,Arena_Sage!$A$5:$D$189,3,0)</f>
        <v>0</v>
      </c>
      <c r="L304" s="34">
        <f>VLOOKUP($B304,Arena_Sage!$A$5:$D$189,4,0)</f>
        <v>0</v>
      </c>
      <c r="M304" s="34">
        <f t="shared" si="159"/>
        <v>0</v>
      </c>
      <c r="N304" s="34">
        <f t="shared" si="190"/>
        <v>0</v>
      </c>
      <c r="O304" s="34">
        <f t="shared" si="191"/>
        <v>0</v>
      </c>
      <c r="P304" s="34"/>
      <c r="R304" s="4" t="s">
        <v>2246</v>
      </c>
    </row>
    <row r="305" spans="1:18" ht="15" customHeight="1" x14ac:dyDescent="0.25">
      <c r="A305" s="8" t="s">
        <v>12</v>
      </c>
      <c r="C305" s="103">
        <f t="shared" ref="C305:D305" si="192">SUM(C302:C304)</f>
        <v>-1600</v>
      </c>
      <c r="D305" s="99">
        <f t="shared" si="192"/>
        <v>0</v>
      </c>
      <c r="E305" s="35">
        <f>SUM(E302:E304)</f>
        <v>0</v>
      </c>
      <c r="F305" s="35">
        <f t="shared" ref="F305:O305" si="193">SUM(F302:F304)</f>
        <v>0</v>
      </c>
      <c r="G305" s="35">
        <f t="shared" si="193"/>
        <v>0</v>
      </c>
      <c r="H305" s="35">
        <f t="shared" si="193"/>
        <v>0</v>
      </c>
      <c r="I305" s="35">
        <f t="shared" si="193"/>
        <v>0</v>
      </c>
      <c r="J305" s="35">
        <f t="shared" si="193"/>
        <v>0</v>
      </c>
      <c r="K305" s="35">
        <f t="shared" si="193"/>
        <v>0</v>
      </c>
      <c r="L305" s="35">
        <f t="shared" si="193"/>
        <v>8435</v>
      </c>
      <c r="M305" s="35">
        <f t="shared" si="193"/>
        <v>-8435</v>
      </c>
      <c r="N305" s="35">
        <f t="shared" si="193"/>
        <v>0</v>
      </c>
      <c r="O305" s="35">
        <f t="shared" si="193"/>
        <v>8435</v>
      </c>
      <c r="P305" s="35">
        <f>SUM(P302:P304)</f>
        <v>-8435</v>
      </c>
    </row>
    <row r="306" spans="1:18" x14ac:dyDescent="0.25">
      <c r="C306" s="104"/>
      <c r="D306" s="100"/>
      <c r="E306" s="34"/>
      <c r="F306" s="34"/>
      <c r="G306" s="34">
        <f t="shared" si="157"/>
        <v>0</v>
      </c>
      <c r="H306" s="34"/>
      <c r="I306" s="34"/>
      <c r="J306" s="34">
        <f t="shared" si="158"/>
        <v>0</v>
      </c>
      <c r="K306" s="34"/>
      <c r="L306" s="34"/>
      <c r="M306" s="34">
        <f t="shared" si="159"/>
        <v>0</v>
      </c>
      <c r="N306" s="34">
        <f t="shared" si="160"/>
        <v>0</v>
      </c>
      <c r="O306" s="34">
        <f t="shared" si="161"/>
        <v>0</v>
      </c>
      <c r="P306" s="34"/>
    </row>
    <row r="307" spans="1:18" x14ac:dyDescent="0.25">
      <c r="A307" s="9" t="s">
        <v>185</v>
      </c>
      <c r="B307" s="12" t="str">
        <f>LEFT(A307,5)</f>
        <v>23. 3</v>
      </c>
      <c r="C307" s="103">
        <f t="shared" ref="C307:D307" si="194">C305</f>
        <v>-1600</v>
      </c>
      <c r="D307" s="99">
        <f t="shared" si="194"/>
        <v>0</v>
      </c>
      <c r="E307" s="35">
        <f>E305</f>
        <v>0</v>
      </c>
      <c r="F307" s="35">
        <f t="shared" ref="F307:P307" si="195">F305</f>
        <v>0</v>
      </c>
      <c r="G307" s="35">
        <f t="shared" si="195"/>
        <v>0</v>
      </c>
      <c r="H307" s="35">
        <f t="shared" si="195"/>
        <v>0</v>
      </c>
      <c r="I307" s="35">
        <f t="shared" si="195"/>
        <v>0</v>
      </c>
      <c r="J307" s="35">
        <f t="shared" si="195"/>
        <v>0</v>
      </c>
      <c r="K307" s="35">
        <f t="shared" si="195"/>
        <v>0</v>
      </c>
      <c r="L307" s="35">
        <f t="shared" si="195"/>
        <v>8435</v>
      </c>
      <c r="M307" s="35">
        <f t="shared" si="195"/>
        <v>-8435</v>
      </c>
      <c r="N307" s="35">
        <f t="shared" si="195"/>
        <v>0</v>
      </c>
      <c r="O307" s="35">
        <f t="shared" si="195"/>
        <v>8435</v>
      </c>
      <c r="P307" s="35">
        <f t="shared" si="195"/>
        <v>-8435</v>
      </c>
    </row>
    <row r="308" spans="1:18" x14ac:dyDescent="0.25">
      <c r="C308" s="104"/>
      <c r="D308" s="100"/>
      <c r="E308" s="34"/>
      <c r="F308" s="34"/>
      <c r="G308" s="34">
        <f t="shared" si="157"/>
        <v>0</v>
      </c>
      <c r="H308" s="34"/>
      <c r="I308" s="34"/>
      <c r="J308" s="34">
        <f t="shared" si="158"/>
        <v>0</v>
      </c>
      <c r="K308" s="34"/>
      <c r="L308" s="34"/>
      <c r="M308" s="34">
        <f t="shared" si="159"/>
        <v>0</v>
      </c>
      <c r="N308" s="34">
        <f t="shared" si="160"/>
        <v>0</v>
      </c>
      <c r="O308" s="34">
        <f t="shared" si="161"/>
        <v>0</v>
      </c>
      <c r="P308" s="34"/>
    </row>
    <row r="309" spans="1:18" x14ac:dyDescent="0.25">
      <c r="A309" s="8" t="s">
        <v>186</v>
      </c>
      <c r="B309" s="4" t="str">
        <f>LEFT(A309,4)</f>
        <v>4185</v>
      </c>
      <c r="C309" s="104">
        <v>-4600</v>
      </c>
      <c r="D309" s="100">
        <v>0</v>
      </c>
      <c r="E309" s="34"/>
      <c r="F309" s="34"/>
      <c r="G309" s="34">
        <f t="shared" si="157"/>
        <v>0</v>
      </c>
      <c r="H309" s="34"/>
      <c r="I309" s="34"/>
      <c r="J309" s="34">
        <f t="shared" si="158"/>
        <v>0</v>
      </c>
      <c r="K309" s="34">
        <f>VLOOKUP($B309,Arena_Sage!$A$5:$D$189,3,0)</f>
        <v>0</v>
      </c>
      <c r="L309" s="34">
        <f>VLOOKUP($B309,Arena_Sage!$A$5:$D$189,4,0)</f>
        <v>4647</v>
      </c>
      <c r="M309" s="34">
        <f t="shared" si="159"/>
        <v>-4647</v>
      </c>
      <c r="N309" s="34">
        <f t="shared" si="160"/>
        <v>0</v>
      </c>
      <c r="O309" s="34">
        <f t="shared" si="161"/>
        <v>4647</v>
      </c>
      <c r="P309" s="34">
        <f t="shared" si="164"/>
        <v>-4647</v>
      </c>
      <c r="R309" s="4" t="s">
        <v>2104</v>
      </c>
    </row>
    <row r="310" spans="1:18" x14ac:dyDescent="0.25">
      <c r="A310" s="8" t="s">
        <v>12</v>
      </c>
      <c r="C310" s="103">
        <f t="shared" ref="C310:D310" si="196">C309</f>
        <v>-4600</v>
      </c>
      <c r="D310" s="99">
        <f t="shared" si="196"/>
        <v>0</v>
      </c>
      <c r="E310" s="35">
        <f>E309</f>
        <v>0</v>
      </c>
      <c r="F310" s="35">
        <f t="shared" ref="F310:P310" si="197">F309</f>
        <v>0</v>
      </c>
      <c r="G310" s="35">
        <f t="shared" si="197"/>
        <v>0</v>
      </c>
      <c r="H310" s="35">
        <f t="shared" si="197"/>
        <v>0</v>
      </c>
      <c r="I310" s="35">
        <f t="shared" si="197"/>
        <v>0</v>
      </c>
      <c r="J310" s="35">
        <f t="shared" si="197"/>
        <v>0</v>
      </c>
      <c r="K310" s="35">
        <f t="shared" si="197"/>
        <v>0</v>
      </c>
      <c r="L310" s="35">
        <f t="shared" si="197"/>
        <v>4647</v>
      </c>
      <c r="M310" s="35">
        <f t="shared" si="197"/>
        <v>-4647</v>
      </c>
      <c r="N310" s="35">
        <f t="shared" si="197"/>
        <v>0</v>
      </c>
      <c r="O310" s="35">
        <f t="shared" si="197"/>
        <v>4647</v>
      </c>
      <c r="P310" s="35">
        <f t="shared" si="197"/>
        <v>-4647</v>
      </c>
    </row>
    <row r="311" spans="1:18" x14ac:dyDescent="0.25">
      <c r="C311" s="104"/>
      <c r="D311" s="100"/>
      <c r="E311" s="34"/>
      <c r="F311" s="34"/>
      <c r="G311" s="34">
        <f t="shared" si="157"/>
        <v>0</v>
      </c>
      <c r="H311" s="34"/>
      <c r="I311" s="34"/>
      <c r="J311" s="34">
        <f t="shared" si="158"/>
        <v>0</v>
      </c>
      <c r="K311" s="34"/>
      <c r="L311" s="34"/>
      <c r="M311" s="34">
        <f t="shared" si="159"/>
        <v>0</v>
      </c>
      <c r="N311" s="34">
        <f t="shared" si="160"/>
        <v>0</v>
      </c>
      <c r="O311" s="34">
        <f t="shared" si="161"/>
        <v>0</v>
      </c>
      <c r="P311" s="34"/>
    </row>
    <row r="312" spans="1:18" x14ac:dyDescent="0.25">
      <c r="A312" s="9" t="s">
        <v>187</v>
      </c>
      <c r="B312" s="12" t="str">
        <f>LEFT(A312,5)</f>
        <v>23. 5</v>
      </c>
      <c r="C312" s="103">
        <f t="shared" ref="C312:D312" si="198">C310</f>
        <v>-4600</v>
      </c>
      <c r="D312" s="99">
        <f t="shared" si="198"/>
        <v>0</v>
      </c>
      <c r="E312" s="35">
        <f>E310</f>
        <v>0</v>
      </c>
      <c r="F312" s="35">
        <f t="shared" ref="F312:P312" si="199">F310</f>
        <v>0</v>
      </c>
      <c r="G312" s="35">
        <f t="shared" si="199"/>
        <v>0</v>
      </c>
      <c r="H312" s="35">
        <f t="shared" si="199"/>
        <v>0</v>
      </c>
      <c r="I312" s="35">
        <f t="shared" si="199"/>
        <v>0</v>
      </c>
      <c r="J312" s="35">
        <f t="shared" si="199"/>
        <v>0</v>
      </c>
      <c r="K312" s="35">
        <f t="shared" si="199"/>
        <v>0</v>
      </c>
      <c r="L312" s="35">
        <f t="shared" si="199"/>
        <v>4647</v>
      </c>
      <c r="M312" s="35">
        <f t="shared" si="199"/>
        <v>-4647</v>
      </c>
      <c r="N312" s="35">
        <f t="shared" si="199"/>
        <v>0</v>
      </c>
      <c r="O312" s="35">
        <f t="shared" si="199"/>
        <v>4647</v>
      </c>
      <c r="P312" s="35">
        <f t="shared" si="199"/>
        <v>-4647</v>
      </c>
    </row>
    <row r="313" spans="1:18" x14ac:dyDescent="0.25">
      <c r="C313" s="104"/>
      <c r="D313" s="100"/>
      <c r="E313" s="34"/>
      <c r="F313" s="34"/>
      <c r="G313" s="34">
        <f t="shared" si="157"/>
        <v>0</v>
      </c>
      <c r="H313" s="34"/>
      <c r="I313" s="34"/>
      <c r="J313" s="34">
        <f t="shared" si="158"/>
        <v>0</v>
      </c>
      <c r="K313" s="34"/>
      <c r="L313" s="34"/>
      <c r="M313" s="34">
        <f t="shared" si="159"/>
        <v>0</v>
      </c>
      <c r="N313" s="34">
        <f t="shared" si="160"/>
        <v>0</v>
      </c>
      <c r="O313" s="34">
        <f t="shared" si="161"/>
        <v>0</v>
      </c>
      <c r="P313" s="34"/>
    </row>
    <row r="314" spans="1:18" x14ac:dyDescent="0.25">
      <c r="A314" s="8" t="s">
        <v>188</v>
      </c>
      <c r="B314" s="4" t="str">
        <f>LEFT(A314,4)</f>
        <v>4180</v>
      </c>
      <c r="C314" s="104">
        <v>-8500</v>
      </c>
      <c r="D314" s="100">
        <v>0</v>
      </c>
      <c r="E314" s="34"/>
      <c r="F314" s="34"/>
      <c r="G314" s="34">
        <f t="shared" si="157"/>
        <v>0</v>
      </c>
      <c r="H314" s="34"/>
      <c r="I314" s="34"/>
      <c r="J314" s="34">
        <f t="shared" si="158"/>
        <v>0</v>
      </c>
      <c r="K314" s="34">
        <f>VLOOKUP($B314,Arena_Sage!$A$5:$D$189,3,0)</f>
        <v>0</v>
      </c>
      <c r="L314" s="34">
        <f>VLOOKUP($B314,Arena_Sage!$A$5:$D$189,4,0)</f>
        <v>8500</v>
      </c>
      <c r="M314" s="34">
        <f t="shared" si="159"/>
        <v>-8500</v>
      </c>
      <c r="N314" s="34">
        <f t="shared" si="160"/>
        <v>0</v>
      </c>
      <c r="O314" s="34">
        <f t="shared" si="161"/>
        <v>8500</v>
      </c>
      <c r="P314" s="34">
        <f t="shared" si="164"/>
        <v>-8500</v>
      </c>
    </row>
    <row r="315" spans="1:18" x14ac:dyDescent="0.25">
      <c r="A315" s="8" t="s">
        <v>12</v>
      </c>
      <c r="C315" s="103">
        <f t="shared" ref="C315:D315" si="200">C314</f>
        <v>-8500</v>
      </c>
      <c r="D315" s="99">
        <f t="shared" si="200"/>
        <v>0</v>
      </c>
      <c r="E315" s="35">
        <f>E314</f>
        <v>0</v>
      </c>
      <c r="F315" s="35">
        <f t="shared" ref="F315:P315" si="201">F314</f>
        <v>0</v>
      </c>
      <c r="G315" s="35">
        <f t="shared" si="201"/>
        <v>0</v>
      </c>
      <c r="H315" s="35">
        <f t="shared" si="201"/>
        <v>0</v>
      </c>
      <c r="I315" s="35">
        <f t="shared" si="201"/>
        <v>0</v>
      </c>
      <c r="J315" s="35">
        <f t="shared" si="201"/>
        <v>0</v>
      </c>
      <c r="K315" s="35">
        <f t="shared" si="201"/>
        <v>0</v>
      </c>
      <c r="L315" s="35">
        <f t="shared" si="201"/>
        <v>8500</v>
      </c>
      <c r="M315" s="35">
        <f t="shared" si="201"/>
        <v>-8500</v>
      </c>
      <c r="N315" s="35">
        <f t="shared" si="201"/>
        <v>0</v>
      </c>
      <c r="O315" s="35">
        <f t="shared" si="201"/>
        <v>8500</v>
      </c>
      <c r="P315" s="35">
        <f t="shared" si="201"/>
        <v>-8500</v>
      </c>
    </row>
    <row r="316" spans="1:18" x14ac:dyDescent="0.25">
      <c r="C316" s="104"/>
      <c r="D316" s="100"/>
      <c r="E316" s="34"/>
      <c r="F316" s="34"/>
      <c r="G316" s="34">
        <f t="shared" si="157"/>
        <v>0</v>
      </c>
      <c r="H316" s="34"/>
      <c r="I316" s="34"/>
      <c r="J316" s="34">
        <f t="shared" si="158"/>
        <v>0</v>
      </c>
      <c r="K316" s="34"/>
      <c r="L316" s="34"/>
      <c r="M316" s="34">
        <f t="shared" si="159"/>
        <v>0</v>
      </c>
      <c r="N316" s="34">
        <f t="shared" si="160"/>
        <v>0</v>
      </c>
      <c r="O316" s="34">
        <f t="shared" si="161"/>
        <v>0</v>
      </c>
      <c r="P316" s="34"/>
    </row>
    <row r="317" spans="1:18" x14ac:dyDescent="0.25">
      <c r="A317" s="9" t="s">
        <v>189</v>
      </c>
      <c r="B317" s="12" t="str">
        <f>LEFT(A317,5)</f>
        <v>23. 6</v>
      </c>
      <c r="C317" s="103">
        <f t="shared" ref="C317:D317" si="202">C315</f>
        <v>-8500</v>
      </c>
      <c r="D317" s="99">
        <f t="shared" si="202"/>
        <v>0</v>
      </c>
      <c r="E317" s="35">
        <f>E315</f>
        <v>0</v>
      </c>
      <c r="F317" s="35">
        <f t="shared" ref="F317:P317" si="203">F315</f>
        <v>0</v>
      </c>
      <c r="G317" s="35">
        <f t="shared" si="203"/>
        <v>0</v>
      </c>
      <c r="H317" s="35">
        <f t="shared" si="203"/>
        <v>0</v>
      </c>
      <c r="I317" s="35">
        <f t="shared" si="203"/>
        <v>0</v>
      </c>
      <c r="J317" s="35">
        <f t="shared" si="203"/>
        <v>0</v>
      </c>
      <c r="K317" s="35">
        <f t="shared" si="203"/>
        <v>0</v>
      </c>
      <c r="L317" s="35">
        <f t="shared" si="203"/>
        <v>8500</v>
      </c>
      <c r="M317" s="35">
        <f t="shared" si="203"/>
        <v>-8500</v>
      </c>
      <c r="N317" s="35">
        <f t="shared" si="203"/>
        <v>0</v>
      </c>
      <c r="O317" s="35">
        <f t="shared" si="203"/>
        <v>8500</v>
      </c>
      <c r="P317" s="35">
        <f t="shared" si="203"/>
        <v>-8500</v>
      </c>
    </row>
    <row r="318" spans="1:18" x14ac:dyDescent="0.25">
      <c r="C318" s="104"/>
      <c r="D318" s="100"/>
      <c r="E318" s="34"/>
      <c r="F318" s="34"/>
      <c r="G318" s="34">
        <f t="shared" si="157"/>
        <v>0</v>
      </c>
      <c r="H318" s="34"/>
      <c r="I318" s="34"/>
      <c r="J318" s="34">
        <f t="shared" si="158"/>
        <v>0</v>
      </c>
      <c r="K318" s="34"/>
      <c r="L318" s="34"/>
      <c r="M318" s="34">
        <f t="shared" si="159"/>
        <v>0</v>
      </c>
      <c r="N318" s="34">
        <f t="shared" si="160"/>
        <v>0</v>
      </c>
      <c r="O318" s="34">
        <f t="shared" si="161"/>
        <v>0</v>
      </c>
      <c r="P318" s="34"/>
    </row>
    <row r="319" spans="1:18" x14ac:dyDescent="0.25">
      <c r="A319" s="8" t="s">
        <v>190</v>
      </c>
      <c r="B319" s="4" t="str">
        <f>LEFT(A319,4)</f>
        <v>4190</v>
      </c>
      <c r="C319" s="108">
        <v>-10000</v>
      </c>
      <c r="D319" s="100">
        <v>-2000</v>
      </c>
      <c r="E319" s="34"/>
      <c r="F319" s="34"/>
      <c r="G319" s="34">
        <f t="shared" si="157"/>
        <v>0</v>
      </c>
      <c r="H319" s="34"/>
      <c r="I319" s="34"/>
      <c r="J319" s="34">
        <f t="shared" si="158"/>
        <v>0</v>
      </c>
      <c r="K319" s="34">
        <f>VLOOKUP($B319,Arena_Sage!$A$5:$D$189,3,0)</f>
        <v>0</v>
      </c>
      <c r="L319" s="34">
        <f>VLOOKUP($B319,Arena_Sage!$A$5:$D$189,4,0)</f>
        <v>8274.24</v>
      </c>
      <c r="M319" s="34">
        <f t="shared" si="159"/>
        <v>-8274.24</v>
      </c>
      <c r="N319" s="34">
        <f t="shared" si="160"/>
        <v>0</v>
      </c>
      <c r="O319" s="34">
        <f t="shared" si="161"/>
        <v>8274.24</v>
      </c>
      <c r="P319" s="34">
        <f t="shared" si="164"/>
        <v>-8274.24</v>
      </c>
      <c r="R319" s="4" t="s">
        <v>2105</v>
      </c>
    </row>
    <row r="320" spans="1:18" x14ac:dyDescent="0.25">
      <c r="A320" s="8" t="s">
        <v>12</v>
      </c>
      <c r="C320" s="103">
        <f t="shared" ref="C320:D320" si="204">C319</f>
        <v>-10000</v>
      </c>
      <c r="D320" s="99">
        <f t="shared" si="204"/>
        <v>-2000</v>
      </c>
      <c r="E320" s="35">
        <f>E319</f>
        <v>0</v>
      </c>
      <c r="F320" s="35">
        <f t="shared" ref="F320:P320" si="205">F319</f>
        <v>0</v>
      </c>
      <c r="G320" s="35">
        <f t="shared" si="205"/>
        <v>0</v>
      </c>
      <c r="H320" s="35">
        <f t="shared" si="205"/>
        <v>0</v>
      </c>
      <c r="I320" s="35">
        <f t="shared" si="205"/>
        <v>0</v>
      </c>
      <c r="J320" s="35">
        <f t="shared" si="205"/>
        <v>0</v>
      </c>
      <c r="K320" s="35">
        <f t="shared" si="205"/>
        <v>0</v>
      </c>
      <c r="L320" s="35">
        <f t="shared" si="205"/>
        <v>8274.24</v>
      </c>
      <c r="M320" s="35">
        <f t="shared" si="205"/>
        <v>-8274.24</v>
      </c>
      <c r="N320" s="35">
        <f t="shared" si="205"/>
        <v>0</v>
      </c>
      <c r="O320" s="35">
        <f t="shared" si="205"/>
        <v>8274.24</v>
      </c>
      <c r="P320" s="35">
        <f t="shared" si="205"/>
        <v>-8274.24</v>
      </c>
    </row>
    <row r="321" spans="1:18" x14ac:dyDescent="0.25">
      <c r="C321" s="104"/>
      <c r="D321" s="100"/>
      <c r="E321" s="34"/>
      <c r="F321" s="34"/>
      <c r="G321" s="34">
        <f t="shared" si="157"/>
        <v>0</v>
      </c>
      <c r="H321" s="34"/>
      <c r="I321" s="34"/>
      <c r="J321" s="34">
        <f t="shared" si="158"/>
        <v>0</v>
      </c>
      <c r="K321" s="34"/>
      <c r="L321" s="34"/>
      <c r="M321" s="34">
        <f t="shared" si="159"/>
        <v>0</v>
      </c>
      <c r="N321" s="34">
        <f t="shared" si="160"/>
        <v>0</v>
      </c>
      <c r="O321" s="34">
        <f t="shared" si="161"/>
        <v>0</v>
      </c>
      <c r="P321" s="34"/>
    </row>
    <row r="322" spans="1:18" x14ac:dyDescent="0.25">
      <c r="A322" s="9" t="s">
        <v>191</v>
      </c>
      <c r="B322" s="12" t="str">
        <f>LEFT(A322,5)</f>
        <v>23. 7</v>
      </c>
      <c r="C322" s="103">
        <f t="shared" ref="C322:D322" si="206">C320</f>
        <v>-10000</v>
      </c>
      <c r="D322" s="99">
        <f t="shared" si="206"/>
        <v>-2000</v>
      </c>
      <c r="E322" s="35">
        <f>E320</f>
        <v>0</v>
      </c>
      <c r="F322" s="35">
        <f t="shared" ref="F322:P322" si="207">F320</f>
        <v>0</v>
      </c>
      <c r="G322" s="35">
        <f t="shared" si="207"/>
        <v>0</v>
      </c>
      <c r="H322" s="35">
        <f t="shared" si="207"/>
        <v>0</v>
      </c>
      <c r="I322" s="35">
        <f t="shared" si="207"/>
        <v>0</v>
      </c>
      <c r="J322" s="35">
        <f t="shared" si="207"/>
        <v>0</v>
      </c>
      <c r="K322" s="35">
        <f t="shared" si="207"/>
        <v>0</v>
      </c>
      <c r="L322" s="35">
        <f t="shared" si="207"/>
        <v>8274.24</v>
      </c>
      <c r="M322" s="35">
        <f t="shared" si="207"/>
        <v>-8274.24</v>
      </c>
      <c r="N322" s="35">
        <f t="shared" si="207"/>
        <v>0</v>
      </c>
      <c r="O322" s="35">
        <f t="shared" si="207"/>
        <v>8274.24</v>
      </c>
      <c r="P322" s="35">
        <f t="shared" si="207"/>
        <v>-8274.24</v>
      </c>
    </row>
    <row r="323" spans="1:18" x14ac:dyDescent="0.25">
      <c r="C323" s="104"/>
      <c r="D323" s="100"/>
      <c r="E323" s="34"/>
      <c r="F323" s="34"/>
      <c r="G323" s="34">
        <f t="shared" si="157"/>
        <v>0</v>
      </c>
      <c r="H323" s="34"/>
      <c r="I323" s="34"/>
      <c r="J323" s="34">
        <f t="shared" si="158"/>
        <v>0</v>
      </c>
      <c r="K323" s="34"/>
      <c r="L323" s="34"/>
      <c r="M323" s="34">
        <f t="shared" si="159"/>
        <v>0</v>
      </c>
      <c r="N323" s="34">
        <f t="shared" si="160"/>
        <v>0</v>
      </c>
      <c r="O323" s="34">
        <f t="shared" si="161"/>
        <v>0</v>
      </c>
      <c r="P323" s="34"/>
    </row>
    <row r="324" spans="1:18" x14ac:dyDescent="0.25">
      <c r="A324" s="8" t="s">
        <v>192</v>
      </c>
      <c r="B324" s="4" t="str">
        <f>LEFT(A324,4)</f>
        <v>4500</v>
      </c>
      <c r="C324" s="104">
        <v>-40000</v>
      </c>
      <c r="D324" s="100">
        <v>-5000</v>
      </c>
      <c r="E324" s="34"/>
      <c r="F324" s="34"/>
      <c r="G324" s="34">
        <f t="shared" si="157"/>
        <v>0</v>
      </c>
      <c r="H324" s="34"/>
      <c r="I324" s="34"/>
      <c r="J324" s="34">
        <f t="shared" si="158"/>
        <v>0</v>
      </c>
      <c r="K324" s="34">
        <f>VLOOKUP($B324,Arena_Sage!$A$5:$D$189,3,0)</f>
        <v>0</v>
      </c>
      <c r="L324" s="34">
        <f>VLOOKUP($B324,Arena_Sage!$A$5:$D$189,4,0)</f>
        <v>36732.68</v>
      </c>
      <c r="M324" s="34">
        <f t="shared" si="159"/>
        <v>-36732.68</v>
      </c>
      <c r="N324" s="34">
        <f t="shared" si="160"/>
        <v>0</v>
      </c>
      <c r="O324" s="34">
        <f t="shared" si="161"/>
        <v>36732.68</v>
      </c>
      <c r="P324" s="34">
        <f t="shared" si="164"/>
        <v>-36732.68</v>
      </c>
      <c r="R324" s="4" t="s">
        <v>2106</v>
      </c>
    </row>
    <row r="325" spans="1:18" x14ac:dyDescent="0.25">
      <c r="A325" s="8" t="s">
        <v>12</v>
      </c>
      <c r="C325" s="103">
        <f t="shared" ref="C325:D325" si="208">C324</f>
        <v>-40000</v>
      </c>
      <c r="D325" s="99">
        <f t="shared" si="208"/>
        <v>-5000</v>
      </c>
      <c r="E325" s="35">
        <f>E324</f>
        <v>0</v>
      </c>
      <c r="F325" s="35">
        <f t="shared" ref="F325:P325" si="209">F324</f>
        <v>0</v>
      </c>
      <c r="G325" s="35">
        <f t="shared" si="209"/>
        <v>0</v>
      </c>
      <c r="H325" s="35">
        <f t="shared" si="209"/>
        <v>0</v>
      </c>
      <c r="I325" s="35">
        <f t="shared" si="209"/>
        <v>0</v>
      </c>
      <c r="J325" s="35">
        <f t="shared" si="209"/>
        <v>0</v>
      </c>
      <c r="K325" s="35">
        <f t="shared" si="209"/>
        <v>0</v>
      </c>
      <c r="L325" s="35">
        <f t="shared" si="209"/>
        <v>36732.68</v>
      </c>
      <c r="M325" s="35">
        <f t="shared" si="209"/>
        <v>-36732.68</v>
      </c>
      <c r="N325" s="35">
        <f t="shared" si="209"/>
        <v>0</v>
      </c>
      <c r="O325" s="35">
        <f t="shared" si="209"/>
        <v>36732.68</v>
      </c>
      <c r="P325" s="35">
        <f t="shared" si="209"/>
        <v>-36732.68</v>
      </c>
    </row>
    <row r="326" spans="1:18" x14ac:dyDescent="0.25">
      <c r="C326" s="104"/>
      <c r="D326" s="100"/>
      <c r="E326" s="34"/>
      <c r="F326" s="34"/>
      <c r="G326" s="34">
        <f t="shared" si="157"/>
        <v>0</v>
      </c>
      <c r="H326" s="34"/>
      <c r="I326" s="34"/>
      <c r="J326" s="34">
        <f t="shared" si="158"/>
        <v>0</v>
      </c>
      <c r="K326" s="34"/>
      <c r="L326" s="34"/>
      <c r="M326" s="34">
        <f t="shared" si="159"/>
        <v>0</v>
      </c>
      <c r="N326" s="34">
        <f t="shared" si="160"/>
        <v>0</v>
      </c>
      <c r="O326" s="34">
        <f t="shared" si="161"/>
        <v>0</v>
      </c>
      <c r="P326" s="34"/>
    </row>
    <row r="327" spans="1:18" x14ac:dyDescent="0.25">
      <c r="A327" s="9" t="s">
        <v>193</v>
      </c>
      <c r="B327" s="12" t="str">
        <f>LEFT(A327,5)</f>
        <v>23. 9</v>
      </c>
      <c r="C327" s="103">
        <f t="shared" ref="C327:D327" si="210">C325</f>
        <v>-40000</v>
      </c>
      <c r="D327" s="99">
        <f t="shared" si="210"/>
        <v>-5000</v>
      </c>
      <c r="E327" s="35">
        <f>E325</f>
        <v>0</v>
      </c>
      <c r="F327" s="35">
        <f t="shared" ref="F327:P327" si="211">F325</f>
        <v>0</v>
      </c>
      <c r="G327" s="35">
        <f t="shared" si="211"/>
        <v>0</v>
      </c>
      <c r="H327" s="35">
        <f t="shared" si="211"/>
        <v>0</v>
      </c>
      <c r="I327" s="35">
        <f t="shared" si="211"/>
        <v>0</v>
      </c>
      <c r="J327" s="35">
        <f t="shared" si="211"/>
        <v>0</v>
      </c>
      <c r="K327" s="35">
        <f t="shared" si="211"/>
        <v>0</v>
      </c>
      <c r="L327" s="35">
        <f t="shared" si="211"/>
        <v>36732.68</v>
      </c>
      <c r="M327" s="35">
        <f t="shared" si="211"/>
        <v>-36732.68</v>
      </c>
      <c r="N327" s="35">
        <f t="shared" si="211"/>
        <v>0</v>
      </c>
      <c r="O327" s="35">
        <f t="shared" si="211"/>
        <v>36732.68</v>
      </c>
      <c r="P327" s="35">
        <f t="shared" si="211"/>
        <v>-36732.68</v>
      </c>
    </row>
    <row r="328" spans="1:18" x14ac:dyDescent="0.25">
      <c r="C328" s="104"/>
      <c r="D328" s="100"/>
      <c r="E328" s="34"/>
      <c r="F328" s="34"/>
      <c r="G328" s="34">
        <f t="shared" si="157"/>
        <v>0</v>
      </c>
      <c r="H328" s="34"/>
      <c r="I328" s="34"/>
      <c r="J328" s="34">
        <f t="shared" si="158"/>
        <v>0</v>
      </c>
      <c r="K328" s="34"/>
      <c r="L328" s="34"/>
      <c r="M328" s="34">
        <f t="shared" si="159"/>
        <v>0</v>
      </c>
      <c r="N328" s="34">
        <f t="shared" si="160"/>
        <v>0</v>
      </c>
      <c r="O328" s="34">
        <f t="shared" si="161"/>
        <v>0</v>
      </c>
      <c r="P328" s="34"/>
    </row>
    <row r="329" spans="1:18" x14ac:dyDescent="0.25">
      <c r="A329" s="8" t="s">
        <v>194</v>
      </c>
      <c r="B329" s="4" t="str">
        <f>LEFT(A329,4)</f>
        <v>4171</v>
      </c>
      <c r="C329" s="104">
        <v>0</v>
      </c>
      <c r="D329" s="100">
        <v>0</v>
      </c>
      <c r="E329" s="34"/>
      <c r="F329" s="34"/>
      <c r="G329" s="34">
        <f t="shared" si="157"/>
        <v>0</v>
      </c>
      <c r="H329" s="34"/>
      <c r="I329" s="34"/>
      <c r="J329" s="34">
        <f t="shared" si="158"/>
        <v>0</v>
      </c>
      <c r="K329" s="34">
        <f>VLOOKUP($B329,Arena_Sage!$A$5:$D$189,3,0)</f>
        <v>0</v>
      </c>
      <c r="L329" s="34">
        <f>VLOOKUP($B329,Arena_Sage!$A$5:$D$189,4,0)</f>
        <v>0</v>
      </c>
      <c r="M329" s="34">
        <f t="shared" si="159"/>
        <v>0</v>
      </c>
      <c r="N329" s="34">
        <f t="shared" si="160"/>
        <v>0</v>
      </c>
      <c r="O329" s="34">
        <f t="shared" si="161"/>
        <v>0</v>
      </c>
      <c r="P329" s="34">
        <f t="shared" si="164"/>
        <v>0</v>
      </c>
    </row>
    <row r="330" spans="1:18" x14ac:dyDescent="0.25">
      <c r="A330" s="8" t="s">
        <v>12</v>
      </c>
      <c r="C330" s="103">
        <f t="shared" ref="C330:D330" si="212">C329</f>
        <v>0</v>
      </c>
      <c r="D330" s="99">
        <f t="shared" si="212"/>
        <v>0</v>
      </c>
      <c r="E330" s="35">
        <f>E329</f>
        <v>0</v>
      </c>
      <c r="F330" s="35">
        <f t="shared" ref="F330:P330" si="213">F329</f>
        <v>0</v>
      </c>
      <c r="G330" s="35">
        <f t="shared" si="213"/>
        <v>0</v>
      </c>
      <c r="H330" s="35">
        <f t="shared" si="213"/>
        <v>0</v>
      </c>
      <c r="I330" s="35">
        <f t="shared" si="213"/>
        <v>0</v>
      </c>
      <c r="J330" s="35">
        <f t="shared" si="213"/>
        <v>0</v>
      </c>
      <c r="K330" s="35">
        <f t="shared" si="213"/>
        <v>0</v>
      </c>
      <c r="L330" s="35">
        <f t="shared" si="213"/>
        <v>0</v>
      </c>
      <c r="M330" s="35">
        <f t="shared" si="213"/>
        <v>0</v>
      </c>
      <c r="N330" s="35">
        <f t="shared" si="213"/>
        <v>0</v>
      </c>
      <c r="O330" s="35">
        <f t="shared" si="213"/>
        <v>0</v>
      </c>
      <c r="P330" s="35">
        <f t="shared" si="213"/>
        <v>0</v>
      </c>
    </row>
    <row r="331" spans="1:18" x14ac:dyDescent="0.25">
      <c r="C331" s="104"/>
      <c r="D331" s="100"/>
      <c r="E331" s="34"/>
      <c r="F331" s="34"/>
      <c r="G331" s="34">
        <f t="shared" si="157"/>
        <v>0</v>
      </c>
      <c r="H331" s="34"/>
      <c r="I331" s="34"/>
      <c r="J331" s="34">
        <f t="shared" si="158"/>
        <v>0</v>
      </c>
      <c r="K331" s="34"/>
      <c r="L331" s="34"/>
      <c r="M331" s="34">
        <f t="shared" si="159"/>
        <v>0</v>
      </c>
      <c r="N331" s="34">
        <f t="shared" si="160"/>
        <v>0</v>
      </c>
      <c r="O331" s="34">
        <f t="shared" si="161"/>
        <v>0</v>
      </c>
      <c r="P331" s="34"/>
    </row>
    <row r="332" spans="1:18" x14ac:dyDescent="0.25">
      <c r="A332" s="9" t="s">
        <v>195</v>
      </c>
      <c r="B332" s="12" t="str">
        <f>LEFT(A332,5)</f>
        <v>23.11</v>
      </c>
      <c r="C332" s="103">
        <f t="shared" ref="C332:D332" si="214">C330</f>
        <v>0</v>
      </c>
      <c r="D332" s="99">
        <f t="shared" si="214"/>
        <v>0</v>
      </c>
      <c r="E332" s="35">
        <f>E330</f>
        <v>0</v>
      </c>
      <c r="F332" s="35">
        <f t="shared" ref="F332:P332" si="215">F330</f>
        <v>0</v>
      </c>
      <c r="G332" s="35">
        <f t="shared" si="215"/>
        <v>0</v>
      </c>
      <c r="H332" s="35">
        <f t="shared" si="215"/>
        <v>0</v>
      </c>
      <c r="I332" s="35">
        <f t="shared" si="215"/>
        <v>0</v>
      </c>
      <c r="J332" s="35">
        <f t="shared" si="215"/>
        <v>0</v>
      </c>
      <c r="K332" s="35">
        <f t="shared" si="215"/>
        <v>0</v>
      </c>
      <c r="L332" s="35">
        <f t="shared" si="215"/>
        <v>0</v>
      </c>
      <c r="M332" s="35">
        <f t="shared" si="215"/>
        <v>0</v>
      </c>
      <c r="N332" s="35">
        <f t="shared" si="215"/>
        <v>0</v>
      </c>
      <c r="O332" s="35">
        <f t="shared" si="215"/>
        <v>0</v>
      </c>
      <c r="P332" s="35">
        <f t="shared" si="215"/>
        <v>0</v>
      </c>
    </row>
    <row r="333" spans="1:18" x14ac:dyDescent="0.25">
      <c r="C333" s="104"/>
      <c r="D333" s="100"/>
      <c r="E333" s="34"/>
      <c r="F333" s="34"/>
      <c r="G333" s="34">
        <f t="shared" si="157"/>
        <v>0</v>
      </c>
      <c r="H333" s="34"/>
      <c r="I333" s="34"/>
      <c r="J333" s="34">
        <f t="shared" si="158"/>
        <v>0</v>
      </c>
      <c r="K333" s="34"/>
      <c r="L333" s="34"/>
      <c r="M333" s="34">
        <f t="shared" si="159"/>
        <v>0</v>
      </c>
      <c r="N333" s="34">
        <f t="shared" si="160"/>
        <v>0</v>
      </c>
      <c r="O333" s="34">
        <f t="shared" si="161"/>
        <v>0</v>
      </c>
      <c r="P333" s="34"/>
    </row>
    <row r="334" spans="1:18" x14ac:dyDescent="0.25">
      <c r="A334" s="8" t="s">
        <v>196</v>
      </c>
      <c r="B334" s="4" t="str">
        <f>LEFT(A334,4)</f>
        <v>4170</v>
      </c>
      <c r="C334" s="104">
        <v>-500</v>
      </c>
      <c r="D334" s="100">
        <v>0</v>
      </c>
      <c r="E334" s="34"/>
      <c r="F334" s="34"/>
      <c r="G334" s="34">
        <f t="shared" si="157"/>
        <v>0</v>
      </c>
      <c r="H334" s="34"/>
      <c r="I334" s="34"/>
      <c r="J334" s="34">
        <f t="shared" si="158"/>
        <v>0</v>
      </c>
      <c r="K334" s="34">
        <f>VLOOKUP($B334,Arena_Sage!$A$5:$D$189,3,0)</f>
        <v>0</v>
      </c>
      <c r="L334" s="34">
        <f>VLOOKUP($B334,Arena_Sage!$A$5:$D$189,4,0)</f>
        <v>565.22</v>
      </c>
      <c r="M334" s="34">
        <f t="shared" si="159"/>
        <v>-565.22</v>
      </c>
      <c r="N334" s="34">
        <f t="shared" si="160"/>
        <v>0</v>
      </c>
      <c r="O334" s="34">
        <f t="shared" si="161"/>
        <v>565.22</v>
      </c>
      <c r="P334" s="34">
        <f t="shared" si="164"/>
        <v>-565.22</v>
      </c>
      <c r="R334" s="4" t="s">
        <v>2107</v>
      </c>
    </row>
    <row r="335" spans="1:18" x14ac:dyDescent="0.25">
      <c r="A335" s="8" t="s">
        <v>197</v>
      </c>
      <c r="B335" s="4" t="str">
        <f>LEFT(A335,4)</f>
        <v>4205</v>
      </c>
      <c r="C335" s="104">
        <v>-100</v>
      </c>
      <c r="D335" s="100">
        <v>0</v>
      </c>
      <c r="E335" s="34"/>
      <c r="F335" s="34"/>
      <c r="G335" s="34">
        <f t="shared" si="157"/>
        <v>0</v>
      </c>
      <c r="H335" s="34"/>
      <c r="I335" s="34"/>
      <c r="J335" s="34">
        <f t="shared" ref="J335:J402" si="216">IF(H335&gt;0,H335,-I335)</f>
        <v>0</v>
      </c>
      <c r="K335" s="34">
        <f>VLOOKUP($B335,Arena_Sage!$A$5:$D$189,3,0)</f>
        <v>0</v>
      </c>
      <c r="L335" s="34">
        <f>VLOOKUP($B335,Arena_Sage!$A$5:$D$189,4,0)</f>
        <v>161.62</v>
      </c>
      <c r="M335" s="34">
        <f t="shared" ref="M335:M402" si="217">IF(K335&gt;0,K335,-L335)</f>
        <v>-161.62</v>
      </c>
      <c r="N335" s="34">
        <f t="shared" si="160"/>
        <v>0</v>
      </c>
      <c r="O335" s="34">
        <f t="shared" si="161"/>
        <v>161.62</v>
      </c>
      <c r="P335" s="34">
        <f t="shared" si="164"/>
        <v>-161.62</v>
      </c>
    </row>
    <row r="336" spans="1:18" x14ac:dyDescent="0.25">
      <c r="A336" s="8" t="s">
        <v>2065</v>
      </c>
      <c r="B336" s="4" t="str">
        <f>LEFT(A336,4)</f>
        <v>4153</v>
      </c>
      <c r="C336" s="104"/>
      <c r="D336" s="100"/>
      <c r="E336" s="34"/>
      <c r="F336" s="34"/>
      <c r="G336" s="34">
        <f t="shared" si="157"/>
        <v>0</v>
      </c>
      <c r="H336" s="34"/>
      <c r="I336" s="34"/>
      <c r="J336" s="34">
        <f t="shared" si="216"/>
        <v>0</v>
      </c>
      <c r="K336" s="34">
        <f>VLOOKUP($B336,Arena_Sage!$A$5:$D$189,3,0)</f>
        <v>0</v>
      </c>
      <c r="L336" s="34">
        <f>VLOOKUP($B336,Arena_Sage!$A$5:$D$189,4,0)</f>
        <v>2500</v>
      </c>
      <c r="M336" s="34">
        <f t="shared" ref="M336" si="218">IF(K336&gt;0,K336,-L336)</f>
        <v>-2500</v>
      </c>
      <c r="N336" s="34">
        <f t="shared" ref="N336" si="219">E336+H336+K336</f>
        <v>0</v>
      </c>
      <c r="O336" s="34">
        <f t="shared" ref="O336" si="220">F336+I336+L336</f>
        <v>2500</v>
      </c>
      <c r="P336" s="34">
        <f t="shared" ref="P336" si="221">IF(N336&gt;0,N336,-O336)</f>
        <v>-2500</v>
      </c>
    </row>
    <row r="337" spans="1:20" x14ac:dyDescent="0.25">
      <c r="A337" s="8" t="s">
        <v>12</v>
      </c>
      <c r="C337" s="103">
        <f t="shared" ref="C337:D337" si="222">SUM(C334:C336)</f>
        <v>-600</v>
      </c>
      <c r="D337" s="99">
        <f t="shared" si="222"/>
        <v>0</v>
      </c>
      <c r="E337" s="35">
        <f>SUM(E334:E336)</f>
        <v>0</v>
      </c>
      <c r="F337" s="35">
        <f t="shared" ref="F337:P337" si="223">SUM(F334:F336)</f>
        <v>0</v>
      </c>
      <c r="G337" s="35">
        <f t="shared" si="223"/>
        <v>0</v>
      </c>
      <c r="H337" s="35">
        <f t="shared" si="223"/>
        <v>0</v>
      </c>
      <c r="I337" s="35">
        <f t="shared" si="223"/>
        <v>0</v>
      </c>
      <c r="J337" s="35">
        <f t="shared" si="223"/>
        <v>0</v>
      </c>
      <c r="K337" s="35">
        <f t="shared" si="223"/>
        <v>0</v>
      </c>
      <c r="L337" s="35">
        <f t="shared" si="223"/>
        <v>3226.84</v>
      </c>
      <c r="M337" s="35">
        <f t="shared" si="223"/>
        <v>-3226.84</v>
      </c>
      <c r="N337" s="35">
        <f t="shared" si="223"/>
        <v>0</v>
      </c>
      <c r="O337" s="35">
        <f t="shared" si="223"/>
        <v>3226.84</v>
      </c>
      <c r="P337" s="35">
        <f t="shared" si="223"/>
        <v>-3226.84</v>
      </c>
    </row>
    <row r="338" spans="1:20" x14ac:dyDescent="0.25">
      <c r="C338" s="104"/>
      <c r="D338" s="100"/>
      <c r="E338" s="34"/>
      <c r="F338" s="34"/>
      <c r="G338" s="34">
        <f t="shared" ref="G338:G402" si="224">IF(E338&gt;0,E338,-F338)</f>
        <v>0</v>
      </c>
      <c r="H338" s="34"/>
      <c r="I338" s="34"/>
      <c r="J338" s="34">
        <f t="shared" si="216"/>
        <v>0</v>
      </c>
      <c r="K338" s="34"/>
      <c r="L338" s="34"/>
      <c r="M338" s="34">
        <f t="shared" si="217"/>
        <v>0</v>
      </c>
      <c r="N338" s="34">
        <f t="shared" ref="N338:N402" si="225">E338+H338+K338</f>
        <v>0</v>
      </c>
      <c r="O338" s="34">
        <f t="shared" ref="O338:O402" si="226">F338+I338+L338</f>
        <v>0</v>
      </c>
      <c r="P338" s="34"/>
    </row>
    <row r="339" spans="1:20" x14ac:dyDescent="0.25">
      <c r="A339" s="9" t="s">
        <v>198</v>
      </c>
      <c r="B339" s="12" t="str">
        <f>LEFT(A339,5)</f>
        <v>23.12</v>
      </c>
      <c r="C339" s="103">
        <f>C337</f>
        <v>-600</v>
      </c>
      <c r="D339" s="99">
        <f>D337</f>
        <v>0</v>
      </c>
      <c r="E339" s="35">
        <f>E337</f>
        <v>0</v>
      </c>
      <c r="F339" s="35">
        <f t="shared" ref="F339:P339" si="227">F337</f>
        <v>0</v>
      </c>
      <c r="G339" s="35">
        <f t="shared" si="227"/>
        <v>0</v>
      </c>
      <c r="H339" s="35">
        <f t="shared" si="227"/>
        <v>0</v>
      </c>
      <c r="I339" s="35">
        <f t="shared" si="227"/>
        <v>0</v>
      </c>
      <c r="J339" s="35">
        <f t="shared" si="227"/>
        <v>0</v>
      </c>
      <c r="K339" s="35">
        <f t="shared" si="227"/>
        <v>0</v>
      </c>
      <c r="L339" s="35">
        <f t="shared" si="227"/>
        <v>3226.84</v>
      </c>
      <c r="M339" s="35">
        <f t="shared" si="227"/>
        <v>-3226.84</v>
      </c>
      <c r="N339" s="35">
        <f t="shared" si="227"/>
        <v>0</v>
      </c>
      <c r="O339" s="35">
        <f t="shared" si="227"/>
        <v>3226.84</v>
      </c>
      <c r="P339" s="35">
        <f t="shared" si="227"/>
        <v>-3226.84</v>
      </c>
    </row>
    <row r="340" spans="1:20" x14ac:dyDescent="0.25">
      <c r="C340" s="104"/>
      <c r="D340" s="100"/>
      <c r="E340" s="34"/>
      <c r="F340" s="34"/>
      <c r="G340" s="34">
        <f t="shared" si="224"/>
        <v>0</v>
      </c>
      <c r="H340" s="34"/>
      <c r="I340" s="34"/>
      <c r="J340" s="34">
        <f t="shared" si="216"/>
        <v>0</v>
      </c>
      <c r="K340" s="34"/>
      <c r="L340" s="34"/>
      <c r="M340" s="34">
        <f t="shared" si="217"/>
        <v>0</v>
      </c>
      <c r="N340" s="34">
        <f t="shared" si="225"/>
        <v>0</v>
      </c>
      <c r="O340" s="34">
        <f t="shared" si="226"/>
        <v>0</v>
      </c>
      <c r="P340" s="34"/>
    </row>
    <row r="341" spans="1:20" x14ac:dyDescent="0.25">
      <c r="A341" s="8" t="s">
        <v>199</v>
      </c>
      <c r="B341" s="4" t="str">
        <f>LEFT(A341,4)</f>
        <v>4160</v>
      </c>
      <c r="C341" s="108">
        <v>-3500</v>
      </c>
      <c r="D341" s="100">
        <v>0</v>
      </c>
      <c r="E341" s="34"/>
      <c r="F341" s="34"/>
      <c r="G341" s="34">
        <f t="shared" si="224"/>
        <v>0</v>
      </c>
      <c r="H341" s="34"/>
      <c r="I341" s="34"/>
      <c r="J341" s="34">
        <f t="shared" si="216"/>
        <v>0</v>
      </c>
      <c r="K341" s="34">
        <f>VLOOKUP($B341,Arena_Sage!$A$5:$D$189,3,0)</f>
        <v>0</v>
      </c>
      <c r="L341" s="34">
        <f>VLOOKUP($B341,Arena_Sage!$A$5:$D$189,4,0)</f>
        <v>2325</v>
      </c>
      <c r="M341" s="34">
        <f t="shared" si="217"/>
        <v>-2325</v>
      </c>
      <c r="N341" s="34">
        <f t="shared" si="225"/>
        <v>0</v>
      </c>
      <c r="O341" s="34">
        <f t="shared" si="226"/>
        <v>2325</v>
      </c>
      <c r="P341" s="34">
        <f t="shared" ref="P341:P402" si="228">IF(N341&gt;0,N341,-O341)</f>
        <v>-2325</v>
      </c>
      <c r="R341" s="4" t="s">
        <v>2108</v>
      </c>
    </row>
    <row r="342" spans="1:20" x14ac:dyDescent="0.25">
      <c r="A342" s="8" t="s">
        <v>12</v>
      </c>
      <c r="C342" s="103">
        <f t="shared" ref="C342:D342" si="229">C341</f>
        <v>-3500</v>
      </c>
      <c r="D342" s="99">
        <f t="shared" si="229"/>
        <v>0</v>
      </c>
      <c r="E342" s="35">
        <f>E341</f>
        <v>0</v>
      </c>
      <c r="F342" s="35">
        <f t="shared" ref="F342:P342" si="230">F341</f>
        <v>0</v>
      </c>
      <c r="G342" s="35">
        <f t="shared" si="230"/>
        <v>0</v>
      </c>
      <c r="H342" s="35">
        <f t="shared" si="230"/>
        <v>0</v>
      </c>
      <c r="I342" s="35">
        <f t="shared" si="230"/>
        <v>0</v>
      </c>
      <c r="J342" s="35">
        <f t="shared" si="230"/>
        <v>0</v>
      </c>
      <c r="K342" s="35">
        <f t="shared" si="230"/>
        <v>0</v>
      </c>
      <c r="L342" s="35">
        <f t="shared" si="230"/>
        <v>2325</v>
      </c>
      <c r="M342" s="35">
        <f t="shared" si="230"/>
        <v>-2325</v>
      </c>
      <c r="N342" s="35">
        <f t="shared" si="230"/>
        <v>0</v>
      </c>
      <c r="O342" s="35">
        <f t="shared" si="230"/>
        <v>2325</v>
      </c>
      <c r="P342" s="35">
        <f t="shared" si="230"/>
        <v>-2325</v>
      </c>
    </row>
    <row r="343" spans="1:20" x14ac:dyDescent="0.25">
      <c r="C343" s="104"/>
      <c r="D343" s="100"/>
      <c r="E343" s="34"/>
      <c r="F343" s="34"/>
      <c r="G343" s="34">
        <f t="shared" si="224"/>
        <v>0</v>
      </c>
      <c r="H343" s="34"/>
      <c r="I343" s="34"/>
      <c r="J343" s="34">
        <f t="shared" si="216"/>
        <v>0</v>
      </c>
      <c r="K343" s="34"/>
      <c r="L343" s="34"/>
      <c r="M343" s="34">
        <f t="shared" si="217"/>
        <v>0</v>
      </c>
      <c r="N343" s="34">
        <f t="shared" si="225"/>
        <v>0</v>
      </c>
      <c r="O343" s="34">
        <f t="shared" si="226"/>
        <v>0</v>
      </c>
      <c r="P343" s="34"/>
    </row>
    <row r="344" spans="1:20" x14ac:dyDescent="0.25">
      <c r="A344" s="9" t="s">
        <v>200</v>
      </c>
      <c r="B344" s="12" t="str">
        <f>LEFT(A344,5)</f>
        <v>23.13</v>
      </c>
      <c r="C344" s="103">
        <f>C342</f>
        <v>-3500</v>
      </c>
      <c r="D344" s="99">
        <f>D342</f>
        <v>0</v>
      </c>
      <c r="E344" s="35">
        <f>E342</f>
        <v>0</v>
      </c>
      <c r="F344" s="35">
        <f t="shared" ref="F344:P344" si="231">F342</f>
        <v>0</v>
      </c>
      <c r="G344" s="35">
        <f t="shared" si="231"/>
        <v>0</v>
      </c>
      <c r="H344" s="35">
        <f t="shared" si="231"/>
        <v>0</v>
      </c>
      <c r="I344" s="35">
        <f t="shared" si="231"/>
        <v>0</v>
      </c>
      <c r="J344" s="35">
        <f t="shared" si="231"/>
        <v>0</v>
      </c>
      <c r="K344" s="35">
        <f t="shared" si="231"/>
        <v>0</v>
      </c>
      <c r="L344" s="35">
        <f t="shared" si="231"/>
        <v>2325</v>
      </c>
      <c r="M344" s="35">
        <f t="shared" si="231"/>
        <v>-2325</v>
      </c>
      <c r="N344" s="35">
        <f t="shared" si="231"/>
        <v>0</v>
      </c>
      <c r="O344" s="35">
        <f t="shared" si="231"/>
        <v>2325</v>
      </c>
      <c r="P344" s="35">
        <f t="shared" si="231"/>
        <v>-2325</v>
      </c>
    </row>
    <row r="345" spans="1:20" x14ac:dyDescent="0.25">
      <c r="E345" s="34"/>
      <c r="F345" s="34"/>
      <c r="G345" s="34">
        <f t="shared" si="224"/>
        <v>0</v>
      </c>
      <c r="H345" s="34"/>
      <c r="I345" s="34"/>
      <c r="J345" s="34">
        <f t="shared" si="216"/>
        <v>0</v>
      </c>
      <c r="K345" s="34"/>
      <c r="L345" s="34"/>
      <c r="M345" s="34">
        <f t="shared" si="217"/>
        <v>0</v>
      </c>
      <c r="N345" s="34">
        <f t="shared" si="225"/>
        <v>0</v>
      </c>
      <c r="O345" s="34">
        <f t="shared" si="226"/>
        <v>0</v>
      </c>
      <c r="P345" s="34"/>
    </row>
    <row r="346" spans="1:20" x14ac:dyDescent="0.25">
      <c r="A346" s="8" t="s">
        <v>201</v>
      </c>
      <c r="B346" s="4" t="str">
        <f t="shared" ref="B346:B357" si="232">LEFT(A346,4)</f>
        <v>5307</v>
      </c>
      <c r="D346" s="98">
        <v>-550.08000000000004</v>
      </c>
      <c r="E346" s="34">
        <f>VLOOKUP($B346,Town_Sage!$A$5:$D$399,3,0)</f>
        <v>550.08000000000004</v>
      </c>
      <c r="F346" s="34">
        <f>VLOOKUP($B346,Town_Sage!$A$5:$D$399,4,0)</f>
        <v>0</v>
      </c>
      <c r="G346" s="34">
        <f t="shared" si="224"/>
        <v>550.08000000000004</v>
      </c>
      <c r="H346" s="34"/>
      <c r="I346" s="34"/>
      <c r="J346" s="34">
        <f t="shared" si="216"/>
        <v>0</v>
      </c>
      <c r="K346" s="34"/>
      <c r="L346" s="34"/>
      <c r="M346" s="34">
        <f t="shared" si="217"/>
        <v>0</v>
      </c>
      <c r="N346" s="34">
        <f t="shared" si="225"/>
        <v>550.08000000000004</v>
      </c>
      <c r="O346" s="34">
        <f t="shared" si="226"/>
        <v>0</v>
      </c>
      <c r="P346" s="34">
        <f t="shared" si="228"/>
        <v>550.08000000000004</v>
      </c>
    </row>
    <row r="347" spans="1:20" x14ac:dyDescent="0.25">
      <c r="A347" s="8" t="s">
        <v>202</v>
      </c>
      <c r="B347" s="4" t="str">
        <f t="shared" si="232"/>
        <v>5309</v>
      </c>
      <c r="D347" s="98">
        <v>390.3</v>
      </c>
      <c r="E347" s="34">
        <f>VLOOKUP($B347,Town_Sage!$A$5:$D$399,3,0)</f>
        <v>0</v>
      </c>
      <c r="F347" s="34">
        <f>VLOOKUP($B347,Town_Sage!$A$5:$D$399,4,0)</f>
        <v>390.3</v>
      </c>
      <c r="G347" s="34">
        <f t="shared" si="224"/>
        <v>-390.3</v>
      </c>
      <c r="H347" s="34"/>
      <c r="I347" s="34"/>
      <c r="J347" s="34">
        <f t="shared" si="216"/>
        <v>0</v>
      </c>
      <c r="K347" s="34"/>
      <c r="L347" s="34"/>
      <c r="M347" s="34">
        <f t="shared" si="217"/>
        <v>0</v>
      </c>
      <c r="N347" s="34">
        <f t="shared" si="225"/>
        <v>0</v>
      </c>
      <c r="O347" s="34">
        <f t="shared" si="226"/>
        <v>390.3</v>
      </c>
      <c r="P347" s="34">
        <f t="shared" si="228"/>
        <v>-390.3</v>
      </c>
      <c r="S347" s="4">
        <f>9544/12</f>
        <v>795.33333333333337</v>
      </c>
    </row>
    <row r="348" spans="1:20" x14ac:dyDescent="0.25">
      <c r="A348" s="8" t="s">
        <v>203</v>
      </c>
      <c r="B348" s="4" t="str">
        <f t="shared" si="232"/>
        <v>5311</v>
      </c>
      <c r="D348" s="98">
        <v>-1880.18</v>
      </c>
      <c r="E348" s="34">
        <f>VLOOKUP($B348,Town_Sage!$A$5:$D$399,3,0)</f>
        <v>1880.18</v>
      </c>
      <c r="F348" s="34">
        <f>VLOOKUP($B348,Town_Sage!$A$5:$D$399,4,0)</f>
        <v>0</v>
      </c>
      <c r="G348" s="34">
        <f t="shared" si="224"/>
        <v>1880.18</v>
      </c>
      <c r="H348" s="34"/>
      <c r="I348" s="34"/>
      <c r="J348" s="34">
        <f t="shared" si="216"/>
        <v>0</v>
      </c>
      <c r="K348" s="34"/>
      <c r="L348" s="34"/>
      <c r="M348" s="34">
        <f t="shared" si="217"/>
        <v>0</v>
      </c>
      <c r="N348" s="34">
        <f t="shared" si="225"/>
        <v>1880.18</v>
      </c>
      <c r="O348" s="34">
        <f t="shared" si="226"/>
        <v>0</v>
      </c>
      <c r="P348" s="34">
        <f t="shared" si="228"/>
        <v>1880.18</v>
      </c>
      <c r="S348" s="4">
        <f>750*12/2</f>
        <v>4500</v>
      </c>
    </row>
    <row r="349" spans="1:20" x14ac:dyDescent="0.25">
      <c r="A349" s="8" t="s">
        <v>204</v>
      </c>
      <c r="B349" s="4" t="str">
        <f t="shared" si="232"/>
        <v>5314</v>
      </c>
      <c r="C349" s="102">
        <v>4500</v>
      </c>
      <c r="D349" s="101"/>
      <c r="E349" s="34">
        <f>VLOOKUP($B349,Town_Sage!$A$5:$D$399,3,0)</f>
        <v>5203.12</v>
      </c>
      <c r="F349" s="34">
        <f>VLOOKUP($B349,Town_Sage!$A$5:$D$399,4,0)</f>
        <v>0</v>
      </c>
      <c r="G349" s="34">
        <f t="shared" si="224"/>
        <v>5203.12</v>
      </c>
      <c r="H349" s="34"/>
      <c r="I349" s="34"/>
      <c r="J349" s="34">
        <f t="shared" si="216"/>
        <v>0</v>
      </c>
      <c r="K349" s="34"/>
      <c r="L349" s="34"/>
      <c r="M349" s="34">
        <f t="shared" si="217"/>
        <v>0</v>
      </c>
      <c r="N349" s="34">
        <f t="shared" si="225"/>
        <v>5203.12</v>
      </c>
      <c r="O349" s="34">
        <f t="shared" si="226"/>
        <v>0</v>
      </c>
      <c r="P349" s="34">
        <f t="shared" si="228"/>
        <v>5203.12</v>
      </c>
    </row>
    <row r="350" spans="1:20" x14ac:dyDescent="0.25">
      <c r="A350" s="8" t="s">
        <v>205</v>
      </c>
      <c r="B350" s="4" t="str">
        <f t="shared" si="232"/>
        <v>5391</v>
      </c>
      <c r="C350" s="102">
        <f>102699+69677+69677+3188</f>
        <v>245241</v>
      </c>
      <c r="D350" s="98">
        <v>95304</v>
      </c>
      <c r="E350" s="34">
        <f>VLOOKUP($B350,Town_Sage!$A$5:$D$399,3,0)</f>
        <v>130080.23</v>
      </c>
      <c r="F350" s="34">
        <f>VLOOKUP($B350,Town_Sage!$A$5:$D$399,4,0)</f>
        <v>0</v>
      </c>
      <c r="G350" s="34">
        <f t="shared" si="224"/>
        <v>130080.23</v>
      </c>
      <c r="H350" s="34"/>
      <c r="I350" s="34"/>
      <c r="J350" s="34">
        <f t="shared" si="216"/>
        <v>0</v>
      </c>
      <c r="K350" s="34"/>
      <c r="L350" s="34"/>
      <c r="M350" s="34">
        <f t="shared" si="217"/>
        <v>0</v>
      </c>
      <c r="N350" s="34">
        <f t="shared" si="225"/>
        <v>130080.23</v>
      </c>
      <c r="O350" s="34">
        <f t="shared" si="226"/>
        <v>0</v>
      </c>
      <c r="P350" s="34">
        <f t="shared" si="228"/>
        <v>130080.23</v>
      </c>
      <c r="R350" s="4">
        <f>92165+65089+65089+3041</f>
        <v>225384</v>
      </c>
      <c r="S350" s="98">
        <f>R350-P350</f>
        <v>95303.77</v>
      </c>
      <c r="T350" s="118" t="s">
        <v>2120</v>
      </c>
    </row>
    <row r="351" spans="1:20" x14ac:dyDescent="0.25">
      <c r="A351" s="8" t="s">
        <v>206</v>
      </c>
      <c r="B351" s="4" t="str">
        <f t="shared" si="232"/>
        <v>5392</v>
      </c>
      <c r="D351" s="98">
        <v>-1657.37</v>
      </c>
      <c r="E351" s="34">
        <f>VLOOKUP($B351,Town_Sage!$A$5:$D$399,3,0)</f>
        <v>1657.37</v>
      </c>
      <c r="F351" s="34">
        <f>VLOOKUP($B351,Town_Sage!$A$5:$D$399,4,0)</f>
        <v>0</v>
      </c>
      <c r="G351" s="34">
        <f t="shared" si="224"/>
        <v>1657.37</v>
      </c>
      <c r="H351" s="34"/>
      <c r="I351" s="34"/>
      <c r="J351" s="34">
        <f t="shared" si="216"/>
        <v>0</v>
      </c>
      <c r="K351" s="34"/>
      <c r="L351" s="34"/>
      <c r="M351" s="34">
        <f t="shared" si="217"/>
        <v>0</v>
      </c>
      <c r="N351" s="34">
        <f t="shared" si="225"/>
        <v>1657.37</v>
      </c>
      <c r="O351" s="34">
        <f t="shared" si="226"/>
        <v>0</v>
      </c>
      <c r="P351" s="34">
        <f t="shared" si="228"/>
        <v>1657.37</v>
      </c>
      <c r="R351" s="4" t="s">
        <v>2110</v>
      </c>
    </row>
    <row r="352" spans="1:20" x14ac:dyDescent="0.25">
      <c r="A352" s="8" t="s">
        <v>207</v>
      </c>
      <c r="B352" s="4" t="str">
        <f t="shared" si="232"/>
        <v>5393</v>
      </c>
      <c r="D352" s="101">
        <v>-1055</v>
      </c>
      <c r="E352" s="34">
        <f>VLOOKUP($B352,Town_Sage!$A$5:$D$399,3,0)</f>
        <v>1055</v>
      </c>
      <c r="F352" s="34">
        <f>VLOOKUP($B352,Town_Sage!$A$5:$D$399,4,0)</f>
        <v>0</v>
      </c>
      <c r="G352" s="34">
        <f t="shared" si="224"/>
        <v>1055</v>
      </c>
      <c r="H352" s="34"/>
      <c r="I352" s="34"/>
      <c r="J352" s="34">
        <f t="shared" si="216"/>
        <v>0</v>
      </c>
      <c r="K352" s="34"/>
      <c r="L352" s="34"/>
      <c r="M352" s="34">
        <f t="shared" si="217"/>
        <v>0</v>
      </c>
      <c r="N352" s="34">
        <f t="shared" si="225"/>
        <v>1055</v>
      </c>
      <c r="O352" s="34">
        <f t="shared" si="226"/>
        <v>0</v>
      </c>
      <c r="P352" s="34">
        <f t="shared" si="228"/>
        <v>1055</v>
      </c>
    </row>
    <row r="353" spans="1:16" x14ac:dyDescent="0.25">
      <c r="A353" s="8" t="s">
        <v>208</v>
      </c>
      <c r="B353" s="4" t="str">
        <f t="shared" si="232"/>
        <v>5396</v>
      </c>
      <c r="D353" s="101">
        <v>520.64</v>
      </c>
      <c r="E353" s="34">
        <f>VLOOKUP($B353,Town_Sage!$A$5:$D$399,3,0)</f>
        <v>0</v>
      </c>
      <c r="F353" s="34">
        <f>VLOOKUP($B353,Town_Sage!$A$5:$D$399,4,0)</f>
        <v>520.64</v>
      </c>
      <c r="G353" s="34">
        <f t="shared" si="224"/>
        <v>-520.64</v>
      </c>
      <c r="H353" s="34"/>
      <c r="I353" s="34"/>
      <c r="J353" s="34">
        <f t="shared" si="216"/>
        <v>0</v>
      </c>
      <c r="K353" s="34"/>
      <c r="L353" s="34"/>
      <c r="M353" s="34">
        <f t="shared" si="217"/>
        <v>0</v>
      </c>
      <c r="N353" s="34">
        <f t="shared" si="225"/>
        <v>0</v>
      </c>
      <c r="O353" s="34">
        <f t="shared" si="226"/>
        <v>520.64</v>
      </c>
      <c r="P353" s="34">
        <f t="shared" si="228"/>
        <v>-520.64</v>
      </c>
    </row>
    <row r="354" spans="1:16" x14ac:dyDescent="0.25">
      <c r="A354" s="8" t="s">
        <v>209</v>
      </c>
      <c r="B354" s="4" t="str">
        <f t="shared" si="232"/>
        <v>5812</v>
      </c>
      <c r="E354" s="34">
        <f>VLOOKUP($B354,Town_Sage!$A$5:$D$399,3,0)</f>
        <v>0</v>
      </c>
      <c r="F354" s="34">
        <f>VLOOKUP($B354,Town_Sage!$A$5:$D$399,4,0)</f>
        <v>0</v>
      </c>
      <c r="G354" s="34">
        <f t="shared" si="224"/>
        <v>0</v>
      </c>
      <c r="H354" s="34"/>
      <c r="I354" s="34"/>
      <c r="J354" s="34">
        <f t="shared" si="216"/>
        <v>0</v>
      </c>
      <c r="K354" s="34"/>
      <c r="L354" s="34"/>
      <c r="M354" s="34">
        <f t="shared" si="217"/>
        <v>0</v>
      </c>
      <c r="N354" s="34">
        <f t="shared" si="225"/>
        <v>0</v>
      </c>
      <c r="O354" s="34">
        <f t="shared" si="226"/>
        <v>0</v>
      </c>
      <c r="P354" s="34">
        <f t="shared" si="228"/>
        <v>0</v>
      </c>
    </row>
    <row r="355" spans="1:16" x14ac:dyDescent="0.25">
      <c r="A355" s="8" t="s">
        <v>2068</v>
      </c>
      <c r="B355" s="4" t="str">
        <f t="shared" si="232"/>
        <v>5305</v>
      </c>
      <c r="E355" s="34">
        <f>VLOOKUP($B355,Town_Sage!$A$5:$D$399,3,0)</f>
        <v>0</v>
      </c>
      <c r="F355" s="34">
        <f>VLOOKUP($B355,Town_Sage!$A$5:$D$399,4,0)</f>
        <v>0</v>
      </c>
      <c r="G355" s="34">
        <f t="shared" ref="G355:G357" si="233">IF(E355&gt;0,E355,-F355)</f>
        <v>0</v>
      </c>
      <c r="H355" s="34"/>
      <c r="I355" s="34"/>
      <c r="J355" s="34">
        <f t="shared" si="216"/>
        <v>0</v>
      </c>
      <c r="K355" s="34"/>
      <c r="L355" s="34"/>
      <c r="M355" s="34">
        <f t="shared" ref="M355:M357" si="234">IF(K355&gt;0,K355,-L355)</f>
        <v>0</v>
      </c>
      <c r="N355" s="34">
        <f t="shared" ref="N355:N357" si="235">E355+H355+K355</f>
        <v>0</v>
      </c>
      <c r="O355" s="34">
        <f t="shared" ref="O355:O357" si="236">F355+I355+L355</f>
        <v>0</v>
      </c>
      <c r="P355" s="34">
        <f t="shared" ref="P355:P357" si="237">IF(N355&gt;0,N355,-O355)</f>
        <v>0</v>
      </c>
    </row>
    <row r="356" spans="1:16" x14ac:dyDescent="0.25">
      <c r="A356" s="8" t="s">
        <v>2069</v>
      </c>
      <c r="B356" s="4" t="str">
        <f t="shared" si="232"/>
        <v>5319</v>
      </c>
      <c r="E356" s="34">
        <f>VLOOKUP($B356,Town_Sage!$A$5:$D$399,3,0)</f>
        <v>0</v>
      </c>
      <c r="F356" s="34">
        <f>VLOOKUP($B356,Town_Sage!$A$5:$D$399,4,0)</f>
        <v>0</v>
      </c>
      <c r="G356" s="34">
        <f t="shared" si="233"/>
        <v>0</v>
      </c>
      <c r="H356" s="34"/>
      <c r="I356" s="34"/>
      <c r="J356" s="34">
        <f t="shared" si="216"/>
        <v>0</v>
      </c>
      <c r="K356" s="34"/>
      <c r="L356" s="34"/>
      <c r="M356" s="34">
        <f t="shared" si="234"/>
        <v>0</v>
      </c>
      <c r="N356" s="34">
        <f t="shared" si="235"/>
        <v>0</v>
      </c>
      <c r="O356" s="34">
        <f t="shared" si="236"/>
        <v>0</v>
      </c>
      <c r="P356" s="34">
        <f t="shared" si="237"/>
        <v>0</v>
      </c>
    </row>
    <row r="357" spans="1:16" x14ac:dyDescent="0.25">
      <c r="A357" s="8" t="s">
        <v>2070</v>
      </c>
      <c r="B357" s="4" t="str">
        <f t="shared" si="232"/>
        <v>5321</v>
      </c>
      <c r="E357" s="34">
        <f>VLOOKUP($B357,Town_Sage!$A$5:$D$399,3,0)</f>
        <v>0</v>
      </c>
      <c r="F357" s="34">
        <f>VLOOKUP($B357,Town_Sage!$A$5:$D$399,4,0)</f>
        <v>0</v>
      </c>
      <c r="G357" s="34">
        <f t="shared" si="233"/>
        <v>0</v>
      </c>
      <c r="H357" s="34"/>
      <c r="I357" s="34"/>
      <c r="J357" s="34">
        <f t="shared" si="216"/>
        <v>0</v>
      </c>
      <c r="K357" s="34"/>
      <c r="L357" s="34"/>
      <c r="M357" s="34">
        <f t="shared" si="234"/>
        <v>0</v>
      </c>
      <c r="N357" s="34">
        <f t="shared" si="235"/>
        <v>0</v>
      </c>
      <c r="O357" s="34">
        <f t="shared" si="236"/>
        <v>0</v>
      </c>
      <c r="P357" s="34">
        <f t="shared" si="237"/>
        <v>0</v>
      </c>
    </row>
    <row r="358" spans="1:16" x14ac:dyDescent="0.25">
      <c r="A358" s="8" t="s">
        <v>5</v>
      </c>
      <c r="C358" s="103">
        <f t="shared" ref="C358:D358" si="238">SUM(C346:C357)</f>
        <v>249741</v>
      </c>
      <c r="D358" s="99">
        <f t="shared" si="238"/>
        <v>91072.31</v>
      </c>
      <c r="E358" s="35">
        <f>SUM(E346:E357)</f>
        <v>140425.97999999998</v>
      </c>
      <c r="F358" s="35">
        <f>SUM(F346:F357)</f>
        <v>910.94</v>
      </c>
      <c r="G358" s="35">
        <f t="shared" ref="G358:P358" si="239">SUM(G346:G357)</f>
        <v>139515.03999999998</v>
      </c>
      <c r="H358" s="35">
        <f t="shared" si="239"/>
        <v>0</v>
      </c>
      <c r="I358" s="35">
        <f t="shared" si="239"/>
        <v>0</v>
      </c>
      <c r="J358" s="35">
        <f t="shared" si="239"/>
        <v>0</v>
      </c>
      <c r="K358" s="35">
        <f t="shared" si="239"/>
        <v>0</v>
      </c>
      <c r="L358" s="35">
        <f t="shared" si="239"/>
        <v>0</v>
      </c>
      <c r="M358" s="35">
        <f t="shared" si="239"/>
        <v>0</v>
      </c>
      <c r="N358" s="35">
        <f t="shared" si="239"/>
        <v>140425.97999999998</v>
      </c>
      <c r="O358" s="35">
        <f t="shared" si="239"/>
        <v>910.94</v>
      </c>
      <c r="P358" s="35">
        <f t="shared" si="239"/>
        <v>139515.03999999998</v>
      </c>
    </row>
    <row r="359" spans="1:16" x14ac:dyDescent="0.25">
      <c r="C359" s="104"/>
      <c r="D359" s="100"/>
      <c r="E359" s="34"/>
      <c r="F359" s="34"/>
      <c r="G359" s="34">
        <f t="shared" si="224"/>
        <v>0</v>
      </c>
      <c r="H359" s="34"/>
      <c r="I359" s="34"/>
      <c r="J359" s="34">
        <f t="shared" si="216"/>
        <v>0</v>
      </c>
      <c r="K359" s="34"/>
      <c r="L359" s="34"/>
      <c r="M359" s="34">
        <f t="shared" si="217"/>
        <v>0</v>
      </c>
      <c r="N359" s="34">
        <f t="shared" si="225"/>
        <v>0</v>
      </c>
      <c r="O359" s="34">
        <f t="shared" si="226"/>
        <v>0</v>
      </c>
      <c r="P359" s="34"/>
    </row>
    <row r="360" spans="1:16" x14ac:dyDescent="0.25">
      <c r="A360" s="9" t="s">
        <v>210</v>
      </c>
      <c r="B360" s="12" t="str">
        <f>LEFT(A360,5)</f>
        <v>40. 1</v>
      </c>
      <c r="C360" s="103">
        <f t="shared" ref="C360:D360" si="240">C358</f>
        <v>249741</v>
      </c>
      <c r="D360" s="99">
        <f t="shared" si="240"/>
        <v>91072.31</v>
      </c>
      <c r="E360" s="35">
        <f>E358</f>
        <v>140425.97999999998</v>
      </c>
      <c r="F360" s="35">
        <f t="shared" ref="F360:P360" si="241">F358</f>
        <v>910.94</v>
      </c>
      <c r="G360" s="35">
        <f t="shared" si="241"/>
        <v>139515.03999999998</v>
      </c>
      <c r="H360" s="35">
        <f t="shared" si="241"/>
        <v>0</v>
      </c>
      <c r="I360" s="35">
        <f t="shared" si="241"/>
        <v>0</v>
      </c>
      <c r="J360" s="35">
        <f t="shared" si="241"/>
        <v>0</v>
      </c>
      <c r="K360" s="35">
        <f t="shared" si="241"/>
        <v>0</v>
      </c>
      <c r="L360" s="35">
        <f t="shared" si="241"/>
        <v>0</v>
      </c>
      <c r="M360" s="35">
        <f t="shared" si="241"/>
        <v>0</v>
      </c>
      <c r="N360" s="35">
        <f t="shared" si="241"/>
        <v>140425.97999999998</v>
      </c>
      <c r="O360" s="35">
        <f t="shared" si="241"/>
        <v>910.94</v>
      </c>
      <c r="P360" s="35">
        <f t="shared" si="241"/>
        <v>139515.03999999998</v>
      </c>
    </row>
    <row r="361" spans="1:16" x14ac:dyDescent="0.25">
      <c r="E361" s="34"/>
      <c r="F361" s="34"/>
      <c r="G361" s="34">
        <f t="shared" si="224"/>
        <v>0</v>
      </c>
      <c r="H361" s="34"/>
      <c r="I361" s="34"/>
      <c r="J361" s="34">
        <f t="shared" si="216"/>
        <v>0</v>
      </c>
      <c r="K361" s="34"/>
      <c r="L361" s="34"/>
      <c r="M361" s="34">
        <f t="shared" si="217"/>
        <v>0</v>
      </c>
      <c r="N361" s="34">
        <f t="shared" si="225"/>
        <v>0</v>
      </c>
      <c r="O361" s="34">
        <f t="shared" si="226"/>
        <v>0</v>
      </c>
      <c r="P361" s="34"/>
    </row>
    <row r="362" spans="1:16" x14ac:dyDescent="0.25">
      <c r="A362" s="8" t="s">
        <v>211</v>
      </c>
      <c r="B362" s="4" t="str">
        <f>LEFT(A362,4)</f>
        <v>5329</v>
      </c>
      <c r="C362" s="102">
        <v>1350</v>
      </c>
      <c r="E362" s="34">
        <f>VLOOKUP($B362,Town_Sage!$A$5:$D$399,3,0)</f>
        <v>1351.68</v>
      </c>
      <c r="F362" s="34">
        <f>VLOOKUP($B362,Town_Sage!$A$5:$D$399,4,0)</f>
        <v>0</v>
      </c>
      <c r="G362" s="34">
        <f t="shared" si="224"/>
        <v>1351.68</v>
      </c>
      <c r="H362" s="34"/>
      <c r="I362" s="34"/>
      <c r="J362" s="34">
        <f t="shared" si="216"/>
        <v>0</v>
      </c>
      <c r="K362" s="34"/>
      <c r="L362" s="34"/>
      <c r="M362" s="34">
        <f t="shared" si="217"/>
        <v>0</v>
      </c>
      <c r="N362" s="34">
        <f t="shared" si="225"/>
        <v>1351.68</v>
      </c>
      <c r="O362" s="34">
        <f t="shared" si="226"/>
        <v>0</v>
      </c>
      <c r="P362" s="34">
        <f t="shared" si="228"/>
        <v>1351.68</v>
      </c>
    </row>
    <row r="363" spans="1:16" x14ac:dyDescent="0.25">
      <c r="A363" s="8" t="s">
        <v>5</v>
      </c>
      <c r="C363" s="103">
        <f t="shared" ref="C363:D363" si="242">C362</f>
        <v>1350</v>
      </c>
      <c r="D363" s="99">
        <f t="shared" si="242"/>
        <v>0</v>
      </c>
      <c r="E363" s="35">
        <f>E362</f>
        <v>1351.68</v>
      </c>
      <c r="F363" s="35">
        <f t="shared" ref="F363:P363" si="243">F362</f>
        <v>0</v>
      </c>
      <c r="G363" s="35">
        <f t="shared" si="243"/>
        <v>1351.68</v>
      </c>
      <c r="H363" s="35">
        <f t="shared" si="243"/>
        <v>0</v>
      </c>
      <c r="I363" s="35">
        <f t="shared" si="243"/>
        <v>0</v>
      </c>
      <c r="J363" s="35">
        <f t="shared" si="243"/>
        <v>0</v>
      </c>
      <c r="K363" s="35">
        <f t="shared" si="243"/>
        <v>0</v>
      </c>
      <c r="L363" s="35">
        <f t="shared" si="243"/>
        <v>0</v>
      </c>
      <c r="M363" s="35">
        <f t="shared" si="243"/>
        <v>0</v>
      </c>
      <c r="N363" s="35">
        <f t="shared" si="243"/>
        <v>1351.68</v>
      </c>
      <c r="O363" s="35">
        <f t="shared" si="243"/>
        <v>0</v>
      </c>
      <c r="P363" s="35">
        <f t="shared" si="243"/>
        <v>1351.68</v>
      </c>
    </row>
    <row r="364" spans="1:16" x14ac:dyDescent="0.25">
      <c r="C364" s="104"/>
      <c r="D364" s="100"/>
      <c r="E364" s="34"/>
      <c r="F364" s="34"/>
      <c r="G364" s="34">
        <f t="shared" si="224"/>
        <v>0</v>
      </c>
      <c r="H364" s="34"/>
      <c r="I364" s="34"/>
      <c r="J364" s="34">
        <f t="shared" si="216"/>
        <v>0</v>
      </c>
      <c r="K364" s="34"/>
      <c r="L364" s="34"/>
      <c r="M364" s="34">
        <f t="shared" si="217"/>
        <v>0</v>
      </c>
      <c r="N364" s="34">
        <f t="shared" si="225"/>
        <v>0</v>
      </c>
      <c r="O364" s="34">
        <f t="shared" si="226"/>
        <v>0</v>
      </c>
      <c r="P364" s="34">
        <f t="shared" si="228"/>
        <v>0</v>
      </c>
    </row>
    <row r="365" spans="1:16" x14ac:dyDescent="0.25">
      <c r="A365" s="9" t="s">
        <v>212</v>
      </c>
      <c r="B365" s="12" t="str">
        <f>LEFT(A365,5)</f>
        <v>40. 3</v>
      </c>
      <c r="C365" s="103">
        <f t="shared" ref="C365:D365" si="244">C363</f>
        <v>1350</v>
      </c>
      <c r="D365" s="99">
        <f t="shared" si="244"/>
        <v>0</v>
      </c>
      <c r="E365" s="35">
        <f>E363</f>
        <v>1351.68</v>
      </c>
      <c r="F365" s="35">
        <f t="shared" ref="F365:P365" si="245">F363</f>
        <v>0</v>
      </c>
      <c r="G365" s="35">
        <f t="shared" si="245"/>
        <v>1351.68</v>
      </c>
      <c r="H365" s="35">
        <f t="shared" si="245"/>
        <v>0</v>
      </c>
      <c r="I365" s="35">
        <f t="shared" si="245"/>
        <v>0</v>
      </c>
      <c r="J365" s="35">
        <f t="shared" si="245"/>
        <v>0</v>
      </c>
      <c r="K365" s="35">
        <f t="shared" si="245"/>
        <v>0</v>
      </c>
      <c r="L365" s="35">
        <f t="shared" si="245"/>
        <v>0</v>
      </c>
      <c r="M365" s="35">
        <f t="shared" si="245"/>
        <v>0</v>
      </c>
      <c r="N365" s="35">
        <f t="shared" si="245"/>
        <v>1351.68</v>
      </c>
      <c r="O365" s="35">
        <f t="shared" si="245"/>
        <v>0</v>
      </c>
      <c r="P365" s="35">
        <f t="shared" si="245"/>
        <v>1351.68</v>
      </c>
    </row>
    <row r="366" spans="1:16" x14ac:dyDescent="0.25">
      <c r="E366" s="34"/>
      <c r="F366" s="34"/>
      <c r="G366" s="34">
        <f t="shared" si="224"/>
        <v>0</v>
      </c>
      <c r="H366" s="34"/>
      <c r="I366" s="34"/>
      <c r="J366" s="34">
        <f t="shared" si="216"/>
        <v>0</v>
      </c>
      <c r="K366" s="34"/>
      <c r="L366" s="34"/>
      <c r="M366" s="34">
        <f t="shared" si="217"/>
        <v>0</v>
      </c>
      <c r="N366" s="34">
        <f t="shared" si="225"/>
        <v>0</v>
      </c>
      <c r="O366" s="34">
        <f t="shared" si="226"/>
        <v>0</v>
      </c>
      <c r="P366" s="34">
        <f t="shared" si="228"/>
        <v>0</v>
      </c>
    </row>
    <row r="367" spans="1:16" x14ac:dyDescent="0.25">
      <c r="A367" s="8" t="s">
        <v>213</v>
      </c>
      <c r="B367" s="4" t="str">
        <f>LEFT(A367,4)</f>
        <v>5343</v>
      </c>
      <c r="C367" s="102">
        <v>11500</v>
      </c>
      <c r="D367" s="98">
        <v>11000</v>
      </c>
      <c r="E367" s="34">
        <f>VLOOKUP($B367,Town_Sage!$A$5:$D$399,3,0)</f>
        <v>212</v>
      </c>
      <c r="F367" s="34">
        <f>VLOOKUP($B367,Town_Sage!$A$5:$D$399,4,0)</f>
        <v>0</v>
      </c>
      <c r="G367" s="34">
        <f t="shared" si="224"/>
        <v>212</v>
      </c>
      <c r="H367" s="34"/>
      <c r="I367" s="34"/>
      <c r="J367" s="34">
        <f t="shared" si="216"/>
        <v>0</v>
      </c>
      <c r="K367" s="34"/>
      <c r="L367" s="34"/>
      <c r="M367" s="34">
        <f t="shared" si="217"/>
        <v>0</v>
      </c>
      <c r="N367" s="34">
        <f t="shared" si="225"/>
        <v>212</v>
      </c>
      <c r="O367" s="34">
        <f t="shared" si="226"/>
        <v>0</v>
      </c>
      <c r="P367" s="34">
        <f t="shared" si="228"/>
        <v>212</v>
      </c>
    </row>
    <row r="368" spans="1:16" x14ac:dyDescent="0.25">
      <c r="A368" s="8" t="s">
        <v>214</v>
      </c>
      <c r="B368" s="4" t="str">
        <f>LEFT(A368,4)</f>
        <v>5344</v>
      </c>
      <c r="C368" s="102">
        <v>3000</v>
      </c>
      <c r="E368" s="34">
        <f>VLOOKUP($B368,Town_Sage!$A$5:$D$399,3,0)</f>
        <v>2827.53</v>
      </c>
      <c r="F368" s="34">
        <f>VLOOKUP($B368,Town_Sage!$A$5:$D$399,4,0)</f>
        <v>0</v>
      </c>
      <c r="G368" s="34">
        <f t="shared" si="224"/>
        <v>2827.53</v>
      </c>
      <c r="H368" s="34"/>
      <c r="I368" s="34"/>
      <c r="J368" s="34">
        <f t="shared" si="216"/>
        <v>0</v>
      </c>
      <c r="K368" s="34"/>
      <c r="L368" s="34"/>
      <c r="M368" s="34">
        <f t="shared" si="217"/>
        <v>0</v>
      </c>
      <c r="N368" s="34">
        <f t="shared" si="225"/>
        <v>2827.53</v>
      </c>
      <c r="O368" s="34">
        <f t="shared" si="226"/>
        <v>0</v>
      </c>
      <c r="P368" s="34">
        <f t="shared" si="228"/>
        <v>2827.53</v>
      </c>
    </row>
    <row r="369" spans="1:19" x14ac:dyDescent="0.25">
      <c r="A369" s="8" t="s">
        <v>215</v>
      </c>
      <c r="B369" s="4" t="str">
        <f>LEFT(A369,4)</f>
        <v>5345</v>
      </c>
      <c r="C369" s="105">
        <v>10000</v>
      </c>
      <c r="E369" s="34">
        <f>VLOOKUP($B369,Town_Sage!$A$5:$D$399,3,0)</f>
        <v>11088.93</v>
      </c>
      <c r="F369" s="34">
        <f>VLOOKUP($B369,Town_Sage!$A$5:$D$399,4,0)</f>
        <v>0</v>
      </c>
      <c r="G369" s="34">
        <f t="shared" si="224"/>
        <v>11088.93</v>
      </c>
      <c r="H369" s="34"/>
      <c r="I369" s="34"/>
      <c r="J369" s="34">
        <f t="shared" si="216"/>
        <v>0</v>
      </c>
      <c r="K369" s="34"/>
      <c r="L369" s="34"/>
      <c r="M369" s="34">
        <f t="shared" si="217"/>
        <v>0</v>
      </c>
      <c r="N369" s="34">
        <f t="shared" si="225"/>
        <v>11088.93</v>
      </c>
      <c r="O369" s="34">
        <f t="shared" si="226"/>
        <v>0</v>
      </c>
      <c r="P369" s="34">
        <f t="shared" si="228"/>
        <v>11088.93</v>
      </c>
      <c r="R369" s="4" t="s">
        <v>2122</v>
      </c>
    </row>
    <row r="370" spans="1:19" x14ac:dyDescent="0.25">
      <c r="A370" s="8" t="s">
        <v>5</v>
      </c>
      <c r="C370" s="103">
        <f t="shared" ref="C370:D370" si="246">SUM(C367:C369)</f>
        <v>24500</v>
      </c>
      <c r="D370" s="99">
        <f t="shared" si="246"/>
        <v>11000</v>
      </c>
      <c r="E370" s="35">
        <f>SUM(E367:E369)</f>
        <v>14128.460000000001</v>
      </c>
      <c r="F370" s="35">
        <f t="shared" ref="F370:P370" si="247">SUM(F367:F369)</f>
        <v>0</v>
      </c>
      <c r="G370" s="35">
        <f t="shared" si="247"/>
        <v>14128.460000000001</v>
      </c>
      <c r="H370" s="35">
        <f t="shared" si="247"/>
        <v>0</v>
      </c>
      <c r="I370" s="35">
        <f t="shared" si="247"/>
        <v>0</v>
      </c>
      <c r="J370" s="35">
        <f t="shared" si="247"/>
        <v>0</v>
      </c>
      <c r="K370" s="35">
        <f t="shared" si="247"/>
        <v>0</v>
      </c>
      <c r="L370" s="35">
        <f t="shared" si="247"/>
        <v>0</v>
      </c>
      <c r="M370" s="35">
        <f t="shared" si="247"/>
        <v>0</v>
      </c>
      <c r="N370" s="35">
        <f t="shared" si="247"/>
        <v>14128.460000000001</v>
      </c>
      <c r="O370" s="35">
        <f t="shared" si="247"/>
        <v>0</v>
      </c>
      <c r="P370" s="35">
        <f t="shared" si="247"/>
        <v>14128.460000000001</v>
      </c>
    </row>
    <row r="371" spans="1:19" x14ac:dyDescent="0.25">
      <c r="C371" s="104"/>
      <c r="D371" s="100"/>
      <c r="E371" s="34"/>
      <c r="F371" s="34"/>
      <c r="G371" s="34">
        <f t="shared" si="224"/>
        <v>0</v>
      </c>
      <c r="H371" s="34"/>
      <c r="I371" s="34"/>
      <c r="J371" s="34">
        <f t="shared" si="216"/>
        <v>0</v>
      </c>
      <c r="K371" s="34"/>
      <c r="L371" s="34"/>
      <c r="M371" s="34">
        <f t="shared" si="217"/>
        <v>0</v>
      </c>
      <c r="N371" s="34">
        <f t="shared" si="225"/>
        <v>0</v>
      </c>
      <c r="O371" s="34">
        <f t="shared" si="226"/>
        <v>0</v>
      </c>
      <c r="P371" s="34"/>
    </row>
    <row r="372" spans="1:19" x14ac:dyDescent="0.25">
      <c r="A372" s="9" t="s">
        <v>216</v>
      </c>
      <c r="B372" s="12" t="str">
        <f>LEFT(A372,5)</f>
        <v>40. 5</v>
      </c>
      <c r="C372" s="103">
        <f t="shared" ref="C372:D372" si="248">C370</f>
        <v>24500</v>
      </c>
      <c r="D372" s="99">
        <f t="shared" si="248"/>
        <v>11000</v>
      </c>
      <c r="E372" s="35">
        <f>E370</f>
        <v>14128.460000000001</v>
      </c>
      <c r="F372" s="35">
        <f t="shared" ref="F372:P372" si="249">F370</f>
        <v>0</v>
      </c>
      <c r="G372" s="35">
        <f t="shared" si="249"/>
        <v>14128.460000000001</v>
      </c>
      <c r="H372" s="35">
        <f t="shared" si="249"/>
        <v>0</v>
      </c>
      <c r="I372" s="35">
        <f t="shared" si="249"/>
        <v>0</v>
      </c>
      <c r="J372" s="35">
        <f t="shared" si="249"/>
        <v>0</v>
      </c>
      <c r="K372" s="35">
        <f t="shared" si="249"/>
        <v>0</v>
      </c>
      <c r="L372" s="35">
        <f t="shared" si="249"/>
        <v>0</v>
      </c>
      <c r="M372" s="35">
        <f t="shared" si="249"/>
        <v>0</v>
      </c>
      <c r="N372" s="35">
        <f t="shared" si="249"/>
        <v>14128.460000000001</v>
      </c>
      <c r="O372" s="35">
        <f t="shared" si="249"/>
        <v>0</v>
      </c>
      <c r="P372" s="35">
        <f t="shared" si="249"/>
        <v>14128.460000000001</v>
      </c>
    </row>
    <row r="373" spans="1:19" x14ac:dyDescent="0.25">
      <c r="E373" s="34"/>
      <c r="F373" s="34"/>
      <c r="G373" s="34">
        <f t="shared" si="224"/>
        <v>0</v>
      </c>
      <c r="H373" s="34"/>
      <c r="I373" s="34"/>
      <c r="J373" s="34">
        <f t="shared" si="216"/>
        <v>0</v>
      </c>
      <c r="K373" s="34"/>
      <c r="L373" s="34"/>
      <c r="M373" s="34">
        <f t="shared" si="217"/>
        <v>0</v>
      </c>
      <c r="N373" s="34">
        <f t="shared" si="225"/>
        <v>0</v>
      </c>
      <c r="O373" s="34">
        <f t="shared" si="226"/>
        <v>0</v>
      </c>
      <c r="P373" s="34"/>
    </row>
    <row r="374" spans="1:19" x14ac:dyDescent="0.25">
      <c r="A374" s="8" t="s">
        <v>217</v>
      </c>
      <c r="B374" s="4" t="str">
        <f>LEFT(A374,4)</f>
        <v>5378</v>
      </c>
      <c r="C374" s="102">
        <v>0</v>
      </c>
      <c r="D374" s="98">
        <v>0</v>
      </c>
      <c r="E374" s="34">
        <f>VLOOKUP($B374,Town_Sage!$A$5:$D$399,3,0)</f>
        <v>0</v>
      </c>
      <c r="F374" s="34">
        <f>VLOOKUP($B374,Town_Sage!$A$5:$D$399,4,0)</f>
        <v>0</v>
      </c>
      <c r="G374" s="34">
        <f t="shared" si="224"/>
        <v>0</v>
      </c>
      <c r="H374" s="34"/>
      <c r="I374" s="34"/>
      <c r="J374" s="34">
        <f t="shared" si="216"/>
        <v>0</v>
      </c>
      <c r="K374" s="34"/>
      <c r="L374" s="34"/>
      <c r="M374" s="34">
        <f t="shared" si="217"/>
        <v>0</v>
      </c>
      <c r="N374" s="34">
        <f t="shared" si="225"/>
        <v>0</v>
      </c>
      <c r="O374" s="34">
        <f t="shared" si="226"/>
        <v>0</v>
      </c>
      <c r="P374" s="34">
        <f t="shared" si="228"/>
        <v>0</v>
      </c>
    </row>
    <row r="375" spans="1:19" x14ac:dyDescent="0.25">
      <c r="A375" s="8" t="s">
        <v>5</v>
      </c>
      <c r="C375" s="103">
        <f t="shared" ref="C375:D375" si="250">C374</f>
        <v>0</v>
      </c>
      <c r="D375" s="99">
        <f t="shared" si="250"/>
        <v>0</v>
      </c>
      <c r="E375" s="35">
        <f>E374</f>
        <v>0</v>
      </c>
      <c r="F375" s="35">
        <f t="shared" ref="F375:P375" si="251">F374</f>
        <v>0</v>
      </c>
      <c r="G375" s="35">
        <f t="shared" si="251"/>
        <v>0</v>
      </c>
      <c r="H375" s="35">
        <f t="shared" si="251"/>
        <v>0</v>
      </c>
      <c r="I375" s="35">
        <f t="shared" si="251"/>
        <v>0</v>
      </c>
      <c r="J375" s="35">
        <f t="shared" si="251"/>
        <v>0</v>
      </c>
      <c r="K375" s="35">
        <f t="shared" si="251"/>
        <v>0</v>
      </c>
      <c r="L375" s="35">
        <f t="shared" si="251"/>
        <v>0</v>
      </c>
      <c r="M375" s="35">
        <f t="shared" si="251"/>
        <v>0</v>
      </c>
      <c r="N375" s="35">
        <f t="shared" si="251"/>
        <v>0</v>
      </c>
      <c r="O375" s="35">
        <f t="shared" si="251"/>
        <v>0</v>
      </c>
      <c r="P375" s="35">
        <f t="shared" si="251"/>
        <v>0</v>
      </c>
    </row>
    <row r="376" spans="1:19" x14ac:dyDescent="0.25">
      <c r="C376" s="104"/>
      <c r="D376" s="100"/>
      <c r="E376" s="34"/>
      <c r="F376" s="34"/>
      <c r="G376" s="34">
        <f t="shared" si="224"/>
        <v>0</v>
      </c>
      <c r="H376" s="34"/>
      <c r="I376" s="34"/>
      <c r="J376" s="34">
        <f t="shared" si="216"/>
        <v>0</v>
      </c>
      <c r="K376" s="34"/>
      <c r="L376" s="34"/>
      <c r="M376" s="34">
        <f t="shared" si="217"/>
        <v>0</v>
      </c>
      <c r="N376" s="34">
        <f t="shared" si="225"/>
        <v>0</v>
      </c>
      <c r="O376" s="34">
        <f t="shared" si="226"/>
        <v>0</v>
      </c>
      <c r="P376" s="34"/>
    </row>
    <row r="377" spans="1:19" x14ac:dyDescent="0.25">
      <c r="A377" s="9" t="s">
        <v>218</v>
      </c>
      <c r="B377" s="12" t="str">
        <f>LEFT(A377,5)</f>
        <v>40. 6</v>
      </c>
      <c r="C377" s="103">
        <f t="shared" ref="C377:D377" si="252">C375</f>
        <v>0</v>
      </c>
      <c r="D377" s="99">
        <f t="shared" si="252"/>
        <v>0</v>
      </c>
      <c r="E377" s="35">
        <f>E375</f>
        <v>0</v>
      </c>
      <c r="F377" s="35">
        <f t="shared" ref="F377:P377" si="253">F375</f>
        <v>0</v>
      </c>
      <c r="G377" s="35">
        <f t="shared" si="253"/>
        <v>0</v>
      </c>
      <c r="H377" s="35">
        <f t="shared" si="253"/>
        <v>0</v>
      </c>
      <c r="I377" s="35">
        <f t="shared" si="253"/>
        <v>0</v>
      </c>
      <c r="J377" s="35">
        <f t="shared" si="253"/>
        <v>0</v>
      </c>
      <c r="K377" s="35">
        <f t="shared" si="253"/>
        <v>0</v>
      </c>
      <c r="L377" s="35">
        <f t="shared" si="253"/>
        <v>0</v>
      </c>
      <c r="M377" s="35">
        <f t="shared" si="253"/>
        <v>0</v>
      </c>
      <c r="N377" s="35">
        <f t="shared" si="253"/>
        <v>0</v>
      </c>
      <c r="O377" s="35">
        <f t="shared" si="253"/>
        <v>0</v>
      </c>
      <c r="P377" s="35">
        <f t="shared" si="253"/>
        <v>0</v>
      </c>
    </row>
    <row r="378" spans="1:19" x14ac:dyDescent="0.25">
      <c r="E378" s="34"/>
      <c r="F378" s="34"/>
      <c r="G378" s="34">
        <f t="shared" si="224"/>
        <v>0</v>
      </c>
      <c r="H378" s="34"/>
      <c r="I378" s="34"/>
      <c r="J378" s="34">
        <f t="shared" si="216"/>
        <v>0</v>
      </c>
      <c r="K378" s="34"/>
      <c r="L378" s="34"/>
      <c r="M378" s="34">
        <f t="shared" si="217"/>
        <v>0</v>
      </c>
      <c r="N378" s="34">
        <f t="shared" si="225"/>
        <v>0</v>
      </c>
      <c r="O378" s="34">
        <f t="shared" si="226"/>
        <v>0</v>
      </c>
      <c r="P378" s="34"/>
    </row>
    <row r="379" spans="1:19" x14ac:dyDescent="0.25">
      <c r="A379" s="8" t="s">
        <v>219</v>
      </c>
      <c r="B379" s="4" t="str">
        <f>LEFT(A379,4)</f>
        <v>5350</v>
      </c>
      <c r="C379" s="102">
        <v>12750</v>
      </c>
      <c r="D379" s="98">
        <v>1012</v>
      </c>
      <c r="E379" s="34">
        <f>VLOOKUP($B379,Town_Sage!$A$5:$D$399,3,0)</f>
        <v>11132</v>
      </c>
      <c r="F379" s="34">
        <f>VLOOKUP($B379,Town_Sage!$A$5:$D$399,4,0)</f>
        <v>0</v>
      </c>
      <c r="G379" s="34">
        <f t="shared" si="224"/>
        <v>11132</v>
      </c>
      <c r="H379" s="34"/>
      <c r="I379" s="34"/>
      <c r="J379" s="34">
        <f t="shared" si="216"/>
        <v>0</v>
      </c>
      <c r="K379" s="34"/>
      <c r="L379" s="34"/>
      <c r="M379" s="34">
        <f t="shared" si="217"/>
        <v>0</v>
      </c>
      <c r="N379" s="34">
        <f t="shared" si="225"/>
        <v>11132</v>
      </c>
      <c r="O379" s="34">
        <f t="shared" si="226"/>
        <v>0</v>
      </c>
      <c r="P379" s="34">
        <f t="shared" si="228"/>
        <v>11132</v>
      </c>
      <c r="R379" s="4">
        <v>12144</v>
      </c>
      <c r="S379" s="98">
        <f>R379-P379</f>
        <v>1012</v>
      </c>
    </row>
    <row r="380" spans="1:19" x14ac:dyDescent="0.25">
      <c r="A380" s="8" t="s">
        <v>5</v>
      </c>
      <c r="C380" s="103">
        <f t="shared" ref="C380:D380" si="254">C379</f>
        <v>12750</v>
      </c>
      <c r="D380" s="99">
        <f t="shared" si="254"/>
        <v>1012</v>
      </c>
      <c r="E380" s="35">
        <f>E379</f>
        <v>11132</v>
      </c>
      <c r="F380" s="35">
        <f t="shared" ref="F380:P380" si="255">F379</f>
        <v>0</v>
      </c>
      <c r="G380" s="35">
        <f t="shared" si="255"/>
        <v>11132</v>
      </c>
      <c r="H380" s="35">
        <f t="shared" si="255"/>
        <v>0</v>
      </c>
      <c r="I380" s="35">
        <f t="shared" si="255"/>
        <v>0</v>
      </c>
      <c r="J380" s="35">
        <f t="shared" si="255"/>
        <v>0</v>
      </c>
      <c r="K380" s="35">
        <f t="shared" si="255"/>
        <v>0</v>
      </c>
      <c r="L380" s="35">
        <f t="shared" si="255"/>
        <v>0</v>
      </c>
      <c r="M380" s="35">
        <f t="shared" si="255"/>
        <v>0</v>
      </c>
      <c r="N380" s="35">
        <f t="shared" si="255"/>
        <v>11132</v>
      </c>
      <c r="O380" s="35">
        <f t="shared" si="255"/>
        <v>0</v>
      </c>
      <c r="P380" s="35">
        <f t="shared" si="255"/>
        <v>11132</v>
      </c>
    </row>
    <row r="381" spans="1:19" x14ac:dyDescent="0.25">
      <c r="C381" s="104"/>
      <c r="D381" s="100"/>
      <c r="E381" s="34"/>
      <c r="F381" s="34"/>
      <c r="G381" s="34">
        <f t="shared" si="224"/>
        <v>0</v>
      </c>
      <c r="H381" s="34"/>
      <c r="I381" s="34"/>
      <c r="J381" s="34">
        <f t="shared" si="216"/>
        <v>0</v>
      </c>
      <c r="K381" s="34"/>
      <c r="L381" s="34"/>
      <c r="M381" s="34">
        <f t="shared" si="217"/>
        <v>0</v>
      </c>
      <c r="N381" s="34">
        <f t="shared" si="225"/>
        <v>0</v>
      </c>
      <c r="O381" s="34">
        <f t="shared" si="226"/>
        <v>0</v>
      </c>
      <c r="P381" s="34"/>
    </row>
    <row r="382" spans="1:19" x14ac:dyDescent="0.25">
      <c r="A382" s="9" t="s">
        <v>220</v>
      </c>
      <c r="B382" s="12" t="str">
        <f>LEFT(A382,5)</f>
        <v>40. 7</v>
      </c>
      <c r="C382" s="103">
        <f t="shared" ref="C382:D382" si="256">C380</f>
        <v>12750</v>
      </c>
      <c r="D382" s="99">
        <f t="shared" si="256"/>
        <v>1012</v>
      </c>
      <c r="E382" s="35">
        <f>E380</f>
        <v>11132</v>
      </c>
      <c r="F382" s="35">
        <f t="shared" ref="F382:P382" si="257">F380</f>
        <v>0</v>
      </c>
      <c r="G382" s="35">
        <f t="shared" si="257"/>
        <v>11132</v>
      </c>
      <c r="H382" s="35">
        <f t="shared" si="257"/>
        <v>0</v>
      </c>
      <c r="I382" s="35">
        <f t="shared" si="257"/>
        <v>0</v>
      </c>
      <c r="J382" s="35">
        <f t="shared" si="257"/>
        <v>0</v>
      </c>
      <c r="K382" s="35">
        <f t="shared" si="257"/>
        <v>0</v>
      </c>
      <c r="L382" s="35">
        <f t="shared" si="257"/>
        <v>0</v>
      </c>
      <c r="M382" s="35">
        <f t="shared" si="257"/>
        <v>0</v>
      </c>
      <c r="N382" s="35">
        <f t="shared" si="257"/>
        <v>11132</v>
      </c>
      <c r="O382" s="35">
        <f t="shared" si="257"/>
        <v>0</v>
      </c>
      <c r="P382" s="35">
        <f t="shared" si="257"/>
        <v>11132</v>
      </c>
    </row>
    <row r="383" spans="1:19" x14ac:dyDescent="0.25">
      <c r="E383" s="34"/>
      <c r="F383" s="34"/>
      <c r="G383" s="34">
        <f t="shared" si="224"/>
        <v>0</v>
      </c>
      <c r="H383" s="34"/>
      <c r="I383" s="34"/>
      <c r="J383" s="34">
        <f t="shared" si="216"/>
        <v>0</v>
      </c>
      <c r="K383" s="34"/>
      <c r="L383" s="34"/>
      <c r="M383" s="34">
        <f t="shared" si="217"/>
        <v>0</v>
      </c>
      <c r="N383" s="34">
        <f t="shared" si="225"/>
        <v>0</v>
      </c>
      <c r="O383" s="34">
        <f t="shared" si="226"/>
        <v>0</v>
      </c>
      <c r="P383" s="34"/>
    </row>
    <row r="384" spans="1:19" x14ac:dyDescent="0.25">
      <c r="A384" s="8" t="s">
        <v>221</v>
      </c>
      <c r="B384" s="4" t="str">
        <f>LEFT(A384,4)</f>
        <v>5351</v>
      </c>
      <c r="C384" s="102">
        <v>1500</v>
      </c>
      <c r="D384" s="98">
        <v>0</v>
      </c>
      <c r="E384" s="34">
        <f>VLOOKUP($B384,Town_Sage!$A$5:$D$399,3,0)</f>
        <v>1490.6</v>
      </c>
      <c r="F384" s="34">
        <f>VLOOKUP($B384,Town_Sage!$A$5:$D$399,4,0)</f>
        <v>0</v>
      </c>
      <c r="G384" s="34">
        <f t="shared" si="224"/>
        <v>1490.6</v>
      </c>
      <c r="H384" s="34"/>
      <c r="I384" s="34"/>
      <c r="J384" s="34">
        <f t="shared" si="216"/>
        <v>0</v>
      </c>
      <c r="K384" s="34"/>
      <c r="L384" s="34"/>
      <c r="M384" s="34">
        <f t="shared" si="217"/>
        <v>0</v>
      </c>
      <c r="N384" s="34">
        <f t="shared" si="225"/>
        <v>1490.6</v>
      </c>
      <c r="O384" s="34">
        <f t="shared" si="226"/>
        <v>0</v>
      </c>
      <c r="P384" s="34">
        <f t="shared" si="228"/>
        <v>1490.6</v>
      </c>
    </row>
    <row r="385" spans="1:16" x14ac:dyDescent="0.25">
      <c r="A385" s="8" t="s">
        <v>222</v>
      </c>
      <c r="B385" s="4" t="str">
        <f>LEFT(A385,4)</f>
        <v>5353</v>
      </c>
      <c r="C385" s="102">
        <v>2000</v>
      </c>
      <c r="E385" s="34">
        <f>VLOOKUP($B385,Town_Sage!$A$5:$D$399,3,0)</f>
        <v>1625</v>
      </c>
      <c r="F385" s="34">
        <f>VLOOKUP($B385,Town_Sage!$A$5:$D$399,4,0)</f>
        <v>0</v>
      </c>
      <c r="G385" s="34">
        <f t="shared" si="224"/>
        <v>1625</v>
      </c>
      <c r="H385" s="34"/>
      <c r="I385" s="34"/>
      <c r="J385" s="34">
        <f t="shared" si="216"/>
        <v>0</v>
      </c>
      <c r="K385" s="34"/>
      <c r="L385" s="34"/>
      <c r="M385" s="34">
        <f t="shared" si="217"/>
        <v>0</v>
      </c>
      <c r="N385" s="34">
        <f t="shared" si="225"/>
        <v>1625</v>
      </c>
      <c r="O385" s="34">
        <f t="shared" si="226"/>
        <v>0</v>
      </c>
      <c r="P385" s="34">
        <f t="shared" si="228"/>
        <v>1625</v>
      </c>
    </row>
    <row r="386" spans="1:16" x14ac:dyDescent="0.25">
      <c r="A386" s="8" t="s">
        <v>5</v>
      </c>
      <c r="C386" s="103">
        <f>SUM(C384:C385)</f>
        <v>3500</v>
      </c>
      <c r="D386" s="99">
        <f>SUM(D384:D385)</f>
        <v>0</v>
      </c>
      <c r="E386" s="35">
        <f>SUM(E384:E385)</f>
        <v>3115.6</v>
      </c>
      <c r="F386" s="35">
        <f t="shared" ref="F386:P386" si="258">SUM(F384:F385)</f>
        <v>0</v>
      </c>
      <c r="G386" s="35">
        <f t="shared" si="258"/>
        <v>3115.6</v>
      </c>
      <c r="H386" s="35">
        <f t="shared" si="258"/>
        <v>0</v>
      </c>
      <c r="I386" s="35">
        <f t="shared" si="258"/>
        <v>0</v>
      </c>
      <c r="J386" s="35">
        <f t="shared" si="258"/>
        <v>0</v>
      </c>
      <c r="K386" s="35">
        <f t="shared" si="258"/>
        <v>0</v>
      </c>
      <c r="L386" s="35">
        <f t="shared" si="258"/>
        <v>0</v>
      </c>
      <c r="M386" s="35">
        <f t="shared" si="258"/>
        <v>0</v>
      </c>
      <c r="N386" s="35">
        <f t="shared" si="258"/>
        <v>3115.6</v>
      </c>
      <c r="O386" s="35">
        <f t="shared" si="258"/>
        <v>0</v>
      </c>
      <c r="P386" s="35">
        <f t="shared" si="258"/>
        <v>3115.6</v>
      </c>
    </row>
    <row r="387" spans="1:16" x14ac:dyDescent="0.25">
      <c r="C387" s="104"/>
      <c r="D387" s="100"/>
      <c r="E387" s="34"/>
      <c r="F387" s="34"/>
      <c r="G387" s="34">
        <f t="shared" si="224"/>
        <v>0</v>
      </c>
      <c r="H387" s="34"/>
      <c r="I387" s="34"/>
      <c r="J387" s="34">
        <f t="shared" si="216"/>
        <v>0</v>
      </c>
      <c r="K387" s="34"/>
      <c r="L387" s="34"/>
      <c r="M387" s="34">
        <f t="shared" si="217"/>
        <v>0</v>
      </c>
      <c r="N387" s="34">
        <f t="shared" si="225"/>
        <v>0</v>
      </c>
      <c r="O387" s="34">
        <f t="shared" si="226"/>
        <v>0</v>
      </c>
      <c r="P387" s="34">
        <f t="shared" si="228"/>
        <v>0</v>
      </c>
    </row>
    <row r="388" spans="1:16" x14ac:dyDescent="0.25">
      <c r="A388" s="9" t="s">
        <v>223</v>
      </c>
      <c r="B388" s="12" t="str">
        <f>LEFT(A388,5)</f>
        <v>40. 8</v>
      </c>
      <c r="C388" s="103">
        <f>C386</f>
        <v>3500</v>
      </c>
      <c r="D388" s="99">
        <f>D386</f>
        <v>0</v>
      </c>
      <c r="E388" s="35">
        <f>E386</f>
        <v>3115.6</v>
      </c>
      <c r="F388" s="35">
        <f t="shared" ref="F388:P388" si="259">F386</f>
        <v>0</v>
      </c>
      <c r="G388" s="35">
        <f t="shared" si="259"/>
        <v>3115.6</v>
      </c>
      <c r="H388" s="35">
        <f t="shared" si="259"/>
        <v>0</v>
      </c>
      <c r="I388" s="35">
        <f t="shared" si="259"/>
        <v>0</v>
      </c>
      <c r="J388" s="35">
        <f t="shared" si="259"/>
        <v>0</v>
      </c>
      <c r="K388" s="35">
        <f t="shared" si="259"/>
        <v>0</v>
      </c>
      <c r="L388" s="35">
        <f t="shared" si="259"/>
        <v>0</v>
      </c>
      <c r="M388" s="35">
        <f t="shared" si="259"/>
        <v>0</v>
      </c>
      <c r="N388" s="35">
        <f t="shared" si="259"/>
        <v>3115.6</v>
      </c>
      <c r="O388" s="35">
        <f t="shared" si="259"/>
        <v>0</v>
      </c>
      <c r="P388" s="35">
        <f t="shared" si="259"/>
        <v>3115.6</v>
      </c>
    </row>
    <row r="389" spans="1:16" x14ac:dyDescent="0.25">
      <c r="E389" s="34"/>
      <c r="F389" s="34"/>
      <c r="G389" s="34">
        <f t="shared" si="224"/>
        <v>0</v>
      </c>
      <c r="H389" s="34"/>
      <c r="I389" s="34"/>
      <c r="J389" s="34">
        <f t="shared" si="216"/>
        <v>0</v>
      </c>
      <c r="K389" s="34"/>
      <c r="L389" s="34"/>
      <c r="M389" s="34">
        <f t="shared" si="217"/>
        <v>0</v>
      </c>
      <c r="N389" s="34">
        <f t="shared" si="225"/>
        <v>0</v>
      </c>
      <c r="O389" s="34">
        <f t="shared" si="226"/>
        <v>0</v>
      </c>
      <c r="P389" s="34">
        <f t="shared" si="228"/>
        <v>0</v>
      </c>
    </row>
    <row r="390" spans="1:16" x14ac:dyDescent="0.25">
      <c r="A390" s="8" t="s">
        <v>224</v>
      </c>
      <c r="B390" s="4" t="str">
        <f>LEFT(A390,4)</f>
        <v>5355</v>
      </c>
      <c r="C390" s="102">
        <v>1000</v>
      </c>
      <c r="E390" s="34">
        <f>VLOOKUP($B390,Town_Sage!$A$5:$D$399,3,0)</f>
        <v>438.08</v>
      </c>
      <c r="F390" s="34">
        <f>VLOOKUP($B390,Town_Sage!$A$5:$D$399,4,0)</f>
        <v>0</v>
      </c>
      <c r="G390" s="34">
        <f t="shared" si="224"/>
        <v>438.08</v>
      </c>
      <c r="H390" s="34"/>
      <c r="I390" s="34"/>
      <c r="J390" s="34">
        <f t="shared" si="216"/>
        <v>0</v>
      </c>
      <c r="K390" s="34"/>
      <c r="L390" s="34"/>
      <c r="M390" s="34">
        <f t="shared" si="217"/>
        <v>0</v>
      </c>
      <c r="N390" s="34">
        <f t="shared" si="225"/>
        <v>438.08</v>
      </c>
      <c r="O390" s="34">
        <f t="shared" si="226"/>
        <v>0</v>
      </c>
      <c r="P390" s="34">
        <f t="shared" si="228"/>
        <v>438.08</v>
      </c>
    </row>
    <row r="391" spans="1:16" x14ac:dyDescent="0.25">
      <c r="A391" s="8" t="s">
        <v>225</v>
      </c>
      <c r="B391" s="4" t="str">
        <f>LEFT(A391,4)</f>
        <v>5383</v>
      </c>
      <c r="C391" s="102">
        <v>0</v>
      </c>
      <c r="E391" s="34">
        <f>VLOOKUP($B391,Town_Sage!$A$5:$D$399,3,0)</f>
        <v>19.239999999999998</v>
      </c>
      <c r="F391" s="34">
        <f>VLOOKUP($B391,Town_Sage!$A$5:$D$399,4,0)</f>
        <v>0</v>
      </c>
      <c r="G391" s="34">
        <f t="shared" si="224"/>
        <v>19.239999999999998</v>
      </c>
      <c r="H391" s="34"/>
      <c r="I391" s="34"/>
      <c r="J391" s="34">
        <f t="shared" si="216"/>
        <v>0</v>
      </c>
      <c r="K391" s="34"/>
      <c r="L391" s="34"/>
      <c r="M391" s="34">
        <f t="shared" si="217"/>
        <v>0</v>
      </c>
      <c r="N391" s="34">
        <f t="shared" si="225"/>
        <v>19.239999999999998</v>
      </c>
      <c r="O391" s="34">
        <f t="shared" si="226"/>
        <v>0</v>
      </c>
      <c r="P391" s="34">
        <f t="shared" si="228"/>
        <v>19.239999999999998</v>
      </c>
    </row>
    <row r="392" spans="1:16" x14ac:dyDescent="0.25">
      <c r="A392" s="8" t="s">
        <v>5</v>
      </c>
      <c r="C392" s="103">
        <f t="shared" ref="C392:D392" si="260">SUM(C390:C391)</f>
        <v>1000</v>
      </c>
      <c r="D392" s="99">
        <f t="shared" si="260"/>
        <v>0</v>
      </c>
      <c r="E392" s="35">
        <f>SUM(E390:E391)</f>
        <v>457.32</v>
      </c>
      <c r="F392" s="35">
        <f t="shared" ref="F392:P392" si="261">SUM(F390:F391)</f>
        <v>0</v>
      </c>
      <c r="G392" s="35">
        <f t="shared" si="261"/>
        <v>457.32</v>
      </c>
      <c r="H392" s="35">
        <f t="shared" si="261"/>
        <v>0</v>
      </c>
      <c r="I392" s="35">
        <f t="shared" si="261"/>
        <v>0</v>
      </c>
      <c r="J392" s="35">
        <f t="shared" si="261"/>
        <v>0</v>
      </c>
      <c r="K392" s="35">
        <f t="shared" si="261"/>
        <v>0</v>
      </c>
      <c r="L392" s="35">
        <f t="shared" si="261"/>
        <v>0</v>
      </c>
      <c r="M392" s="35">
        <f t="shared" si="261"/>
        <v>0</v>
      </c>
      <c r="N392" s="35">
        <f t="shared" si="261"/>
        <v>457.32</v>
      </c>
      <c r="O392" s="35">
        <f t="shared" si="261"/>
        <v>0</v>
      </c>
      <c r="P392" s="35">
        <f t="shared" si="261"/>
        <v>457.32</v>
      </c>
    </row>
    <row r="393" spans="1:16" x14ac:dyDescent="0.25">
      <c r="C393" s="104"/>
      <c r="D393" s="100"/>
      <c r="E393" s="34"/>
      <c r="F393" s="34"/>
      <c r="G393" s="34">
        <f t="shared" si="224"/>
        <v>0</v>
      </c>
      <c r="H393" s="34"/>
      <c r="I393" s="34"/>
      <c r="J393" s="34">
        <f t="shared" si="216"/>
        <v>0</v>
      </c>
      <c r="K393" s="34"/>
      <c r="L393" s="34"/>
      <c r="M393" s="34">
        <f t="shared" si="217"/>
        <v>0</v>
      </c>
      <c r="N393" s="34">
        <f t="shared" si="225"/>
        <v>0</v>
      </c>
      <c r="O393" s="34">
        <f t="shared" si="226"/>
        <v>0</v>
      </c>
      <c r="P393" s="34"/>
    </row>
    <row r="394" spans="1:16" x14ac:dyDescent="0.25">
      <c r="A394" s="9" t="s">
        <v>226</v>
      </c>
      <c r="B394" s="12" t="str">
        <f>LEFT(A394,5)</f>
        <v>40. 9</v>
      </c>
      <c r="C394" s="103">
        <f t="shared" ref="C394:D394" si="262">C392</f>
        <v>1000</v>
      </c>
      <c r="D394" s="99">
        <f t="shared" si="262"/>
        <v>0</v>
      </c>
      <c r="E394" s="35">
        <f>E392</f>
        <v>457.32</v>
      </c>
      <c r="F394" s="35">
        <f t="shared" ref="F394:P394" si="263">F392</f>
        <v>0</v>
      </c>
      <c r="G394" s="35">
        <f t="shared" si="263"/>
        <v>457.32</v>
      </c>
      <c r="H394" s="35">
        <f t="shared" si="263"/>
        <v>0</v>
      </c>
      <c r="I394" s="35">
        <f t="shared" si="263"/>
        <v>0</v>
      </c>
      <c r="J394" s="35">
        <f t="shared" si="263"/>
        <v>0</v>
      </c>
      <c r="K394" s="35">
        <f t="shared" si="263"/>
        <v>0</v>
      </c>
      <c r="L394" s="35">
        <f t="shared" si="263"/>
        <v>0</v>
      </c>
      <c r="M394" s="35">
        <f t="shared" si="263"/>
        <v>0</v>
      </c>
      <c r="N394" s="35">
        <f t="shared" si="263"/>
        <v>457.32</v>
      </c>
      <c r="O394" s="35">
        <f t="shared" si="263"/>
        <v>0</v>
      </c>
      <c r="P394" s="35">
        <f t="shared" si="263"/>
        <v>457.32</v>
      </c>
    </row>
    <row r="395" spans="1:16" x14ac:dyDescent="0.25">
      <c r="E395" s="34"/>
      <c r="F395" s="34"/>
      <c r="G395" s="34">
        <f t="shared" si="224"/>
        <v>0</v>
      </c>
      <c r="H395" s="34"/>
      <c r="I395" s="34"/>
      <c r="J395" s="34">
        <f t="shared" si="216"/>
        <v>0</v>
      </c>
      <c r="K395" s="34"/>
      <c r="L395" s="34"/>
      <c r="M395" s="34">
        <f t="shared" si="217"/>
        <v>0</v>
      </c>
      <c r="N395" s="34">
        <f t="shared" si="225"/>
        <v>0</v>
      </c>
      <c r="O395" s="34">
        <f t="shared" si="226"/>
        <v>0</v>
      </c>
      <c r="P395" s="34"/>
    </row>
    <row r="396" spans="1:16" x14ac:dyDescent="0.25">
      <c r="A396" s="8" t="s">
        <v>227</v>
      </c>
      <c r="B396" s="4" t="str">
        <f>LEFT(A396,4)</f>
        <v>5325</v>
      </c>
      <c r="C396" s="102">
        <v>3000</v>
      </c>
      <c r="D396" s="98">
        <v>205</v>
      </c>
      <c r="E396" s="34">
        <f>VLOOKUP($B396,Town_Sage!$A$5:$D$399,3,0)</f>
        <v>2381.4499999999998</v>
      </c>
      <c r="F396" s="34">
        <f>VLOOKUP($B396,Town_Sage!$A$5:$D$399,4,0)</f>
        <v>0</v>
      </c>
      <c r="G396" s="34">
        <f t="shared" si="224"/>
        <v>2381.4499999999998</v>
      </c>
      <c r="H396" s="34"/>
      <c r="I396" s="34"/>
      <c r="J396" s="34">
        <f t="shared" si="216"/>
        <v>0</v>
      </c>
      <c r="K396" s="34"/>
      <c r="L396" s="34"/>
      <c r="M396" s="34">
        <f t="shared" si="217"/>
        <v>0</v>
      </c>
      <c r="N396" s="34">
        <f t="shared" si="225"/>
        <v>2381.4499999999998</v>
      </c>
      <c r="O396" s="34">
        <f t="shared" si="226"/>
        <v>0</v>
      </c>
      <c r="P396" s="34">
        <f t="shared" si="228"/>
        <v>2381.4499999999998</v>
      </c>
    </row>
    <row r="397" spans="1:16" x14ac:dyDescent="0.25">
      <c r="A397" s="8" t="s">
        <v>228</v>
      </c>
      <c r="B397" s="4" t="str">
        <f>LEFT(A397,4)</f>
        <v>5327</v>
      </c>
      <c r="C397" s="102">
        <v>3000</v>
      </c>
      <c r="D397" s="98">
        <v>284</v>
      </c>
      <c r="E397" s="34">
        <f>VLOOKUP($B397,Town_Sage!$A$5:$D$399,3,0)</f>
        <v>2707.54</v>
      </c>
      <c r="F397" s="34">
        <f>VLOOKUP($B397,Town_Sage!$A$5:$D$399,4,0)</f>
        <v>0</v>
      </c>
      <c r="G397" s="34">
        <f t="shared" si="224"/>
        <v>2707.54</v>
      </c>
      <c r="H397" s="34"/>
      <c r="I397" s="34"/>
      <c r="J397" s="34">
        <f t="shared" si="216"/>
        <v>0</v>
      </c>
      <c r="K397" s="34"/>
      <c r="L397" s="34"/>
      <c r="M397" s="34">
        <f t="shared" si="217"/>
        <v>0</v>
      </c>
      <c r="N397" s="34">
        <f t="shared" si="225"/>
        <v>2707.54</v>
      </c>
      <c r="O397" s="34">
        <f t="shared" si="226"/>
        <v>0</v>
      </c>
      <c r="P397" s="34">
        <f t="shared" si="228"/>
        <v>2707.54</v>
      </c>
    </row>
    <row r="398" spans="1:16" x14ac:dyDescent="0.25">
      <c r="A398" s="8" t="s">
        <v>5</v>
      </c>
      <c r="C398" s="103">
        <f t="shared" ref="C398:D398" si="264">SUM(C396:C397)</f>
        <v>6000</v>
      </c>
      <c r="D398" s="99">
        <f t="shared" si="264"/>
        <v>489</v>
      </c>
      <c r="E398" s="35">
        <f>SUM(E396:E397)</f>
        <v>5088.99</v>
      </c>
      <c r="F398" s="35">
        <f t="shared" ref="F398:P398" si="265">SUM(F396:F397)</f>
        <v>0</v>
      </c>
      <c r="G398" s="35">
        <f t="shared" si="265"/>
        <v>5088.99</v>
      </c>
      <c r="H398" s="35">
        <f t="shared" si="265"/>
        <v>0</v>
      </c>
      <c r="I398" s="35">
        <f t="shared" si="265"/>
        <v>0</v>
      </c>
      <c r="J398" s="35">
        <f t="shared" si="265"/>
        <v>0</v>
      </c>
      <c r="K398" s="35">
        <f t="shared" si="265"/>
        <v>0</v>
      </c>
      <c r="L398" s="35">
        <f t="shared" si="265"/>
        <v>0</v>
      </c>
      <c r="M398" s="35">
        <f t="shared" si="265"/>
        <v>0</v>
      </c>
      <c r="N398" s="35">
        <f t="shared" si="265"/>
        <v>5088.99</v>
      </c>
      <c r="O398" s="35">
        <f t="shared" si="265"/>
        <v>0</v>
      </c>
      <c r="P398" s="35">
        <f t="shared" si="265"/>
        <v>5088.99</v>
      </c>
    </row>
    <row r="399" spans="1:16" x14ac:dyDescent="0.25">
      <c r="C399" s="104"/>
      <c r="D399" s="100"/>
      <c r="E399" s="34"/>
      <c r="F399" s="34"/>
      <c r="G399" s="34">
        <f t="shared" si="224"/>
        <v>0</v>
      </c>
      <c r="H399" s="34"/>
      <c r="I399" s="34"/>
      <c r="J399" s="34">
        <f t="shared" si="216"/>
        <v>0</v>
      </c>
      <c r="K399" s="34"/>
      <c r="L399" s="34"/>
      <c r="M399" s="34">
        <f t="shared" si="217"/>
        <v>0</v>
      </c>
      <c r="N399" s="34">
        <f t="shared" si="225"/>
        <v>0</v>
      </c>
      <c r="O399" s="34">
        <f t="shared" si="226"/>
        <v>0</v>
      </c>
      <c r="P399" s="34">
        <f t="shared" si="228"/>
        <v>0</v>
      </c>
    </row>
    <row r="400" spans="1:16" x14ac:dyDescent="0.25">
      <c r="A400" s="9" t="s">
        <v>229</v>
      </c>
      <c r="B400" s="12" t="str">
        <f>LEFT(A400,5)</f>
        <v>40.11</v>
      </c>
      <c r="C400" s="103">
        <f t="shared" ref="C400:D400" si="266">C398</f>
        <v>6000</v>
      </c>
      <c r="D400" s="99">
        <f t="shared" si="266"/>
        <v>489</v>
      </c>
      <c r="E400" s="35">
        <f>E398</f>
        <v>5088.99</v>
      </c>
      <c r="F400" s="35">
        <f t="shared" ref="F400:P400" si="267">F398</f>
        <v>0</v>
      </c>
      <c r="G400" s="35">
        <f t="shared" si="267"/>
        <v>5088.99</v>
      </c>
      <c r="H400" s="35">
        <f t="shared" si="267"/>
        <v>0</v>
      </c>
      <c r="I400" s="35">
        <f t="shared" si="267"/>
        <v>0</v>
      </c>
      <c r="J400" s="35">
        <f t="shared" si="267"/>
        <v>0</v>
      </c>
      <c r="K400" s="35">
        <f t="shared" si="267"/>
        <v>0</v>
      </c>
      <c r="L400" s="35">
        <f t="shared" si="267"/>
        <v>0</v>
      </c>
      <c r="M400" s="35">
        <f t="shared" si="267"/>
        <v>0</v>
      </c>
      <c r="N400" s="35">
        <f t="shared" si="267"/>
        <v>5088.99</v>
      </c>
      <c r="O400" s="35">
        <f t="shared" si="267"/>
        <v>0</v>
      </c>
      <c r="P400" s="35">
        <f t="shared" si="267"/>
        <v>5088.99</v>
      </c>
    </row>
    <row r="401" spans="1:19" x14ac:dyDescent="0.25">
      <c r="E401" s="34"/>
      <c r="F401" s="34"/>
      <c r="G401" s="34">
        <f t="shared" si="224"/>
        <v>0</v>
      </c>
      <c r="H401" s="34"/>
      <c r="I401" s="34"/>
      <c r="J401" s="34">
        <f t="shared" si="216"/>
        <v>0</v>
      </c>
      <c r="K401" s="34"/>
      <c r="L401" s="34"/>
      <c r="M401" s="34">
        <f t="shared" si="217"/>
        <v>0</v>
      </c>
      <c r="N401" s="34">
        <f t="shared" si="225"/>
        <v>0</v>
      </c>
      <c r="O401" s="34">
        <f t="shared" si="226"/>
        <v>0</v>
      </c>
      <c r="P401" s="34"/>
    </row>
    <row r="402" spans="1:19" x14ac:dyDescent="0.25">
      <c r="A402" s="8" t="s">
        <v>230</v>
      </c>
      <c r="B402" s="4" t="str">
        <f>LEFT(A402,4)</f>
        <v>5346</v>
      </c>
      <c r="C402" s="102">
        <v>5250</v>
      </c>
      <c r="D402" s="98">
        <v>1490</v>
      </c>
      <c r="E402" s="34">
        <f>VLOOKUP($B402,Town_Sage!$A$5:$D$399,3,0)</f>
        <v>3760.74</v>
      </c>
      <c r="F402" s="34">
        <f>VLOOKUP($B402,Town_Sage!$A$5:$D$399,4,0)</f>
        <v>0</v>
      </c>
      <c r="G402" s="34">
        <f t="shared" si="224"/>
        <v>3760.74</v>
      </c>
      <c r="H402" s="34"/>
      <c r="I402" s="34"/>
      <c r="J402" s="34">
        <f t="shared" si="216"/>
        <v>0</v>
      </c>
      <c r="K402" s="34"/>
      <c r="L402" s="34"/>
      <c r="M402" s="34">
        <f t="shared" si="217"/>
        <v>0</v>
      </c>
      <c r="N402" s="34">
        <f t="shared" si="225"/>
        <v>3760.74</v>
      </c>
      <c r="O402" s="34">
        <f t="shared" si="226"/>
        <v>0</v>
      </c>
      <c r="P402" s="34">
        <f t="shared" si="228"/>
        <v>3760.74</v>
      </c>
      <c r="R402" s="98">
        <f>5250-P402</f>
        <v>1489.2600000000002</v>
      </c>
    </row>
    <row r="403" spans="1:19" x14ac:dyDescent="0.25">
      <c r="A403" s="8" t="s">
        <v>5</v>
      </c>
      <c r="C403" s="103">
        <f t="shared" ref="C403:D403" si="268">C402</f>
        <v>5250</v>
      </c>
      <c r="D403" s="99">
        <f t="shared" si="268"/>
        <v>1490</v>
      </c>
      <c r="E403" s="35">
        <f>E402</f>
        <v>3760.74</v>
      </c>
      <c r="F403" s="35">
        <f t="shared" ref="F403:P403" si="269">F402</f>
        <v>0</v>
      </c>
      <c r="G403" s="35">
        <f t="shared" si="269"/>
        <v>3760.74</v>
      </c>
      <c r="H403" s="35">
        <f t="shared" si="269"/>
        <v>0</v>
      </c>
      <c r="I403" s="35">
        <f t="shared" si="269"/>
        <v>0</v>
      </c>
      <c r="J403" s="35">
        <f t="shared" si="269"/>
        <v>0</v>
      </c>
      <c r="K403" s="35">
        <f t="shared" si="269"/>
        <v>0</v>
      </c>
      <c r="L403" s="35">
        <f t="shared" si="269"/>
        <v>0</v>
      </c>
      <c r="M403" s="35">
        <f t="shared" si="269"/>
        <v>0</v>
      </c>
      <c r="N403" s="35">
        <f t="shared" si="269"/>
        <v>3760.74</v>
      </c>
      <c r="O403" s="35">
        <f t="shared" si="269"/>
        <v>0</v>
      </c>
      <c r="P403" s="35">
        <f t="shared" si="269"/>
        <v>3760.74</v>
      </c>
    </row>
    <row r="404" spans="1:19" x14ac:dyDescent="0.25">
      <c r="C404" s="104"/>
      <c r="D404" s="100"/>
      <c r="E404" s="34"/>
      <c r="F404" s="34"/>
      <c r="G404" s="34">
        <f t="shared" ref="G404:G466" si="270">IF(E404&gt;0,E404,-F404)</f>
        <v>0</v>
      </c>
      <c r="H404" s="34"/>
      <c r="I404" s="34"/>
      <c r="J404" s="34">
        <f t="shared" ref="J404:J466" si="271">IF(H404&gt;0,H404,-I404)</f>
        <v>0</v>
      </c>
      <c r="K404" s="34"/>
      <c r="L404" s="34"/>
      <c r="M404" s="34">
        <f t="shared" ref="M404:M466" si="272">IF(K404&gt;0,K404,-L404)</f>
        <v>0</v>
      </c>
      <c r="N404" s="34">
        <f t="shared" ref="N404:N466" si="273">E404+H404+K404</f>
        <v>0</v>
      </c>
      <c r="O404" s="34">
        <f t="shared" ref="O404:O466" si="274">F404+I404+L404</f>
        <v>0</v>
      </c>
      <c r="P404" s="34"/>
    </row>
    <row r="405" spans="1:19" x14ac:dyDescent="0.25">
      <c r="A405" s="9" t="s">
        <v>231</v>
      </c>
      <c r="B405" s="12" t="str">
        <f>LEFT(A405,5)</f>
        <v>40.13</v>
      </c>
      <c r="C405" s="103">
        <f t="shared" ref="C405:D405" si="275">C403</f>
        <v>5250</v>
      </c>
      <c r="D405" s="99">
        <f t="shared" si="275"/>
        <v>1490</v>
      </c>
      <c r="E405" s="35">
        <f>E403</f>
        <v>3760.74</v>
      </c>
      <c r="F405" s="35">
        <f t="shared" ref="F405:P405" si="276">F403</f>
        <v>0</v>
      </c>
      <c r="G405" s="35">
        <f t="shared" si="276"/>
        <v>3760.74</v>
      </c>
      <c r="H405" s="35">
        <f t="shared" si="276"/>
        <v>0</v>
      </c>
      <c r="I405" s="35">
        <f t="shared" si="276"/>
        <v>0</v>
      </c>
      <c r="J405" s="35">
        <f t="shared" si="276"/>
        <v>0</v>
      </c>
      <c r="K405" s="35">
        <f t="shared" si="276"/>
        <v>0</v>
      </c>
      <c r="L405" s="35">
        <f t="shared" si="276"/>
        <v>0</v>
      </c>
      <c r="M405" s="35">
        <f t="shared" si="276"/>
        <v>0</v>
      </c>
      <c r="N405" s="35">
        <f t="shared" si="276"/>
        <v>3760.74</v>
      </c>
      <c r="O405" s="35">
        <f t="shared" si="276"/>
        <v>0</v>
      </c>
      <c r="P405" s="35">
        <f t="shared" si="276"/>
        <v>3760.74</v>
      </c>
    </row>
    <row r="406" spans="1:19" x14ac:dyDescent="0.25">
      <c r="E406" s="34"/>
      <c r="F406" s="34"/>
      <c r="G406" s="34">
        <f t="shared" si="270"/>
        <v>0</v>
      </c>
      <c r="H406" s="34"/>
      <c r="I406" s="34"/>
      <c r="J406" s="34">
        <f t="shared" si="271"/>
        <v>0</v>
      </c>
      <c r="K406" s="34"/>
      <c r="L406" s="34"/>
      <c r="M406" s="34">
        <f t="shared" si="272"/>
        <v>0</v>
      </c>
      <c r="N406" s="34">
        <f t="shared" si="273"/>
        <v>0</v>
      </c>
      <c r="O406" s="34">
        <f t="shared" si="274"/>
        <v>0</v>
      </c>
      <c r="P406" s="34"/>
    </row>
    <row r="407" spans="1:19" x14ac:dyDescent="0.25">
      <c r="A407" s="8" t="s">
        <v>232</v>
      </c>
      <c r="B407" s="4" t="str">
        <f>LEFT(A407,4)</f>
        <v>5357</v>
      </c>
      <c r="C407" s="102">
        <v>4866</v>
      </c>
      <c r="D407" s="98">
        <v>1311</v>
      </c>
      <c r="E407" s="34">
        <f>VLOOKUP($B407,Town_Sage!$A$5:$D$399,3,0)</f>
        <v>2743.88</v>
      </c>
      <c r="F407" s="34">
        <f>VLOOKUP($B407,Town_Sage!$A$5:$D$399,4,0)</f>
        <v>0</v>
      </c>
      <c r="G407" s="34">
        <f t="shared" si="270"/>
        <v>2743.88</v>
      </c>
      <c r="H407" s="34"/>
      <c r="I407" s="34"/>
      <c r="J407" s="34">
        <f t="shared" si="271"/>
        <v>0</v>
      </c>
      <c r="K407" s="34"/>
      <c r="L407" s="34"/>
      <c r="M407" s="34">
        <f t="shared" si="272"/>
        <v>0</v>
      </c>
      <c r="N407" s="34">
        <f t="shared" si="273"/>
        <v>2743.88</v>
      </c>
      <c r="O407" s="34">
        <f t="shared" si="274"/>
        <v>0</v>
      </c>
      <c r="P407" s="34">
        <f t="shared" ref="P407:P464" si="277">IF(N407&gt;0,N407,-O407)</f>
        <v>2743.88</v>
      </c>
      <c r="R407" s="4">
        <v>4055</v>
      </c>
      <c r="S407" s="98">
        <f>R407-P407</f>
        <v>1311.12</v>
      </c>
    </row>
    <row r="408" spans="1:19" x14ac:dyDescent="0.25">
      <c r="A408" s="8" t="s">
        <v>233</v>
      </c>
      <c r="B408" s="4" t="str">
        <f>LEFT(A408,4)</f>
        <v>5358</v>
      </c>
      <c r="E408" s="34">
        <f>VLOOKUP($B408,Town_Sage!$A$5:$D$399,3,0)</f>
        <v>0</v>
      </c>
      <c r="F408" s="34">
        <f>VLOOKUP($B408,Town_Sage!$A$5:$D$399,4,0)</f>
        <v>0</v>
      </c>
      <c r="G408" s="34">
        <f t="shared" si="270"/>
        <v>0</v>
      </c>
      <c r="H408" s="34"/>
      <c r="I408" s="34"/>
      <c r="J408" s="34">
        <f t="shared" si="271"/>
        <v>0</v>
      </c>
      <c r="K408" s="34"/>
      <c r="L408" s="34"/>
      <c r="M408" s="34">
        <f t="shared" si="272"/>
        <v>0</v>
      </c>
      <c r="N408" s="34">
        <f t="shared" si="273"/>
        <v>0</v>
      </c>
      <c r="O408" s="34">
        <f t="shared" si="274"/>
        <v>0</v>
      </c>
      <c r="P408" s="34"/>
    </row>
    <row r="409" spans="1:19" x14ac:dyDescent="0.25">
      <c r="A409" s="8" t="s">
        <v>5</v>
      </c>
      <c r="C409" s="103">
        <f t="shared" ref="C409:D409" si="278">SUM(C407:C408)</f>
        <v>4866</v>
      </c>
      <c r="D409" s="99">
        <f t="shared" si="278"/>
        <v>1311</v>
      </c>
      <c r="E409" s="35">
        <f>SUM(E407:E408)</f>
        <v>2743.88</v>
      </c>
      <c r="F409" s="35">
        <f t="shared" ref="F409:P409" si="279">SUM(F407:F408)</f>
        <v>0</v>
      </c>
      <c r="G409" s="35">
        <f t="shared" si="279"/>
        <v>2743.88</v>
      </c>
      <c r="H409" s="35">
        <f t="shared" si="279"/>
        <v>0</v>
      </c>
      <c r="I409" s="35">
        <f t="shared" si="279"/>
        <v>0</v>
      </c>
      <c r="J409" s="35">
        <f t="shared" si="279"/>
        <v>0</v>
      </c>
      <c r="K409" s="35">
        <f t="shared" si="279"/>
        <v>0</v>
      </c>
      <c r="L409" s="35">
        <f t="shared" si="279"/>
        <v>0</v>
      </c>
      <c r="M409" s="35">
        <f t="shared" si="279"/>
        <v>0</v>
      </c>
      <c r="N409" s="35">
        <f t="shared" si="279"/>
        <v>2743.88</v>
      </c>
      <c r="O409" s="35">
        <f t="shared" si="279"/>
        <v>0</v>
      </c>
      <c r="P409" s="35">
        <f t="shared" si="279"/>
        <v>2743.88</v>
      </c>
    </row>
    <row r="410" spans="1:19" x14ac:dyDescent="0.25">
      <c r="C410" s="104"/>
      <c r="D410" s="100"/>
      <c r="E410" s="34"/>
      <c r="F410" s="34"/>
      <c r="G410" s="34">
        <f t="shared" si="270"/>
        <v>0</v>
      </c>
      <c r="H410" s="34"/>
      <c r="I410" s="34"/>
      <c r="J410" s="34">
        <f t="shared" si="271"/>
        <v>0</v>
      </c>
      <c r="K410" s="34"/>
      <c r="L410" s="34"/>
      <c r="M410" s="34">
        <f t="shared" si="272"/>
        <v>0</v>
      </c>
      <c r="N410" s="34">
        <f t="shared" si="273"/>
        <v>0</v>
      </c>
      <c r="O410" s="34">
        <f t="shared" si="274"/>
        <v>0</v>
      </c>
      <c r="P410" s="34"/>
    </row>
    <row r="411" spans="1:19" x14ac:dyDescent="0.25">
      <c r="A411" s="9" t="s">
        <v>234</v>
      </c>
      <c r="B411" s="12" t="str">
        <f>LEFT(A411,5)</f>
        <v>40.15</v>
      </c>
      <c r="C411" s="103">
        <f t="shared" ref="C411:D411" si="280">C409</f>
        <v>4866</v>
      </c>
      <c r="D411" s="99">
        <f t="shared" si="280"/>
        <v>1311</v>
      </c>
      <c r="E411" s="35">
        <f>E409</f>
        <v>2743.88</v>
      </c>
      <c r="F411" s="35">
        <f t="shared" ref="F411:P411" si="281">F409</f>
        <v>0</v>
      </c>
      <c r="G411" s="35">
        <f t="shared" si="281"/>
        <v>2743.88</v>
      </c>
      <c r="H411" s="35">
        <f t="shared" si="281"/>
        <v>0</v>
      </c>
      <c r="I411" s="35">
        <f t="shared" si="281"/>
        <v>0</v>
      </c>
      <c r="J411" s="35">
        <f t="shared" si="281"/>
        <v>0</v>
      </c>
      <c r="K411" s="35">
        <f t="shared" si="281"/>
        <v>0</v>
      </c>
      <c r="L411" s="35">
        <f t="shared" si="281"/>
        <v>0</v>
      </c>
      <c r="M411" s="35">
        <f t="shared" si="281"/>
        <v>0</v>
      </c>
      <c r="N411" s="35">
        <f t="shared" si="281"/>
        <v>2743.88</v>
      </c>
      <c r="O411" s="35">
        <f t="shared" si="281"/>
        <v>0</v>
      </c>
      <c r="P411" s="35">
        <f t="shared" si="281"/>
        <v>2743.88</v>
      </c>
    </row>
    <row r="412" spans="1:19" x14ac:dyDescent="0.25">
      <c r="E412" s="34"/>
      <c r="F412" s="34"/>
      <c r="G412" s="34">
        <f t="shared" si="270"/>
        <v>0</v>
      </c>
      <c r="H412" s="34"/>
      <c r="I412" s="34"/>
      <c r="J412" s="34">
        <f t="shared" si="271"/>
        <v>0</v>
      </c>
      <c r="K412" s="34"/>
      <c r="L412" s="34"/>
      <c r="M412" s="34">
        <f t="shared" si="272"/>
        <v>0</v>
      </c>
      <c r="N412" s="34">
        <f t="shared" si="273"/>
        <v>0</v>
      </c>
      <c r="O412" s="34">
        <f t="shared" si="274"/>
        <v>0</v>
      </c>
      <c r="P412" s="34"/>
    </row>
    <row r="413" spans="1:19" x14ac:dyDescent="0.25">
      <c r="A413" s="8" t="s">
        <v>235</v>
      </c>
      <c r="B413" s="4" t="str">
        <f>LEFT(A413,4)</f>
        <v>5337</v>
      </c>
      <c r="C413" s="102">
        <v>1100</v>
      </c>
      <c r="D413" s="98">
        <v>85</v>
      </c>
      <c r="E413" s="34">
        <f>VLOOKUP($B413,Town_Sage!$A$5:$D$399,3,0)</f>
        <v>973.02</v>
      </c>
      <c r="F413" s="34">
        <f>VLOOKUP($B413,Town_Sage!$A$5:$D$399,4,0)</f>
        <v>0</v>
      </c>
      <c r="G413" s="34">
        <f t="shared" si="270"/>
        <v>973.02</v>
      </c>
      <c r="H413" s="34"/>
      <c r="I413" s="34"/>
      <c r="J413" s="34">
        <f t="shared" si="271"/>
        <v>0</v>
      </c>
      <c r="K413" s="34"/>
      <c r="L413" s="34"/>
      <c r="M413" s="34">
        <f t="shared" si="272"/>
        <v>0</v>
      </c>
      <c r="N413" s="34">
        <f t="shared" si="273"/>
        <v>973.02</v>
      </c>
      <c r="O413" s="34">
        <f t="shared" si="274"/>
        <v>0</v>
      </c>
      <c r="P413" s="34">
        <f t="shared" si="277"/>
        <v>973.02</v>
      </c>
    </row>
    <row r="414" spans="1:19" x14ac:dyDescent="0.25">
      <c r="A414" s="8" t="s">
        <v>5</v>
      </c>
      <c r="C414" s="103">
        <f t="shared" ref="C414:D414" si="282">C413</f>
        <v>1100</v>
      </c>
      <c r="D414" s="99">
        <f t="shared" si="282"/>
        <v>85</v>
      </c>
      <c r="E414" s="35">
        <f>E413</f>
        <v>973.02</v>
      </c>
      <c r="F414" s="35">
        <f t="shared" ref="F414:P414" si="283">F413</f>
        <v>0</v>
      </c>
      <c r="G414" s="35">
        <f t="shared" si="283"/>
        <v>973.02</v>
      </c>
      <c r="H414" s="35">
        <f t="shared" si="283"/>
        <v>0</v>
      </c>
      <c r="I414" s="35">
        <f t="shared" si="283"/>
        <v>0</v>
      </c>
      <c r="J414" s="35">
        <f t="shared" si="283"/>
        <v>0</v>
      </c>
      <c r="K414" s="35">
        <f t="shared" si="283"/>
        <v>0</v>
      </c>
      <c r="L414" s="35">
        <f t="shared" si="283"/>
        <v>0</v>
      </c>
      <c r="M414" s="35">
        <f t="shared" si="283"/>
        <v>0</v>
      </c>
      <c r="N414" s="35">
        <f t="shared" si="283"/>
        <v>973.02</v>
      </c>
      <c r="O414" s="35">
        <f t="shared" si="283"/>
        <v>0</v>
      </c>
      <c r="P414" s="35">
        <f t="shared" si="283"/>
        <v>973.02</v>
      </c>
    </row>
    <row r="415" spans="1:19" x14ac:dyDescent="0.25">
      <c r="C415" s="104"/>
      <c r="D415" s="100"/>
      <c r="E415" s="34"/>
      <c r="F415" s="34"/>
      <c r="G415" s="34">
        <f t="shared" si="270"/>
        <v>0</v>
      </c>
      <c r="H415" s="34"/>
      <c r="I415" s="34"/>
      <c r="J415" s="34">
        <f t="shared" si="271"/>
        <v>0</v>
      </c>
      <c r="K415" s="34"/>
      <c r="L415" s="34"/>
      <c r="M415" s="34">
        <f t="shared" si="272"/>
        <v>0</v>
      </c>
      <c r="N415" s="34">
        <f t="shared" si="273"/>
        <v>0</v>
      </c>
      <c r="O415" s="34">
        <f t="shared" si="274"/>
        <v>0</v>
      </c>
      <c r="P415" s="34"/>
    </row>
    <row r="416" spans="1:19" x14ac:dyDescent="0.25">
      <c r="A416" s="9" t="s">
        <v>236</v>
      </c>
      <c r="B416" s="12" t="str">
        <f>LEFT(A416,5)</f>
        <v>40.16</v>
      </c>
      <c r="C416" s="103">
        <f t="shared" ref="C416:D416" si="284">C414</f>
        <v>1100</v>
      </c>
      <c r="D416" s="99">
        <f t="shared" si="284"/>
        <v>85</v>
      </c>
      <c r="E416" s="35">
        <f>E414</f>
        <v>973.02</v>
      </c>
      <c r="F416" s="35">
        <f t="shared" ref="F416:P416" si="285">F414</f>
        <v>0</v>
      </c>
      <c r="G416" s="35">
        <f t="shared" si="285"/>
        <v>973.02</v>
      </c>
      <c r="H416" s="35">
        <f t="shared" si="285"/>
        <v>0</v>
      </c>
      <c r="I416" s="35">
        <f t="shared" si="285"/>
        <v>0</v>
      </c>
      <c r="J416" s="35">
        <f t="shared" si="285"/>
        <v>0</v>
      </c>
      <c r="K416" s="35">
        <f t="shared" si="285"/>
        <v>0</v>
      </c>
      <c r="L416" s="35">
        <f t="shared" si="285"/>
        <v>0</v>
      </c>
      <c r="M416" s="35">
        <f t="shared" si="285"/>
        <v>0</v>
      </c>
      <c r="N416" s="35">
        <f t="shared" si="285"/>
        <v>973.02</v>
      </c>
      <c r="O416" s="35">
        <f t="shared" si="285"/>
        <v>0</v>
      </c>
      <c r="P416" s="35">
        <f t="shared" si="285"/>
        <v>973.02</v>
      </c>
    </row>
    <row r="417" spans="1:16" x14ac:dyDescent="0.25">
      <c r="E417" s="34"/>
      <c r="F417" s="34"/>
      <c r="G417" s="34">
        <f t="shared" si="270"/>
        <v>0</v>
      </c>
      <c r="H417" s="34"/>
      <c r="I417" s="34"/>
      <c r="J417" s="34">
        <f t="shared" si="271"/>
        <v>0</v>
      </c>
      <c r="K417" s="34"/>
      <c r="L417" s="34"/>
      <c r="M417" s="34">
        <f t="shared" si="272"/>
        <v>0</v>
      </c>
      <c r="N417" s="34">
        <f t="shared" si="273"/>
        <v>0</v>
      </c>
      <c r="O417" s="34">
        <f t="shared" si="274"/>
        <v>0</v>
      </c>
      <c r="P417" s="34"/>
    </row>
    <row r="418" spans="1:16" x14ac:dyDescent="0.25">
      <c r="A418" s="8" t="s">
        <v>237</v>
      </c>
      <c r="B418" s="4" t="str">
        <f t="shared" ref="B418:B423" si="286">LEFT(A418,4)</f>
        <v>5095</v>
      </c>
      <c r="C418" s="102">
        <v>300</v>
      </c>
      <c r="E418" s="34">
        <f>VLOOKUP($B418,Town_Sage!$A$5:$D$399,3,0)</f>
        <v>32.619999999999997</v>
      </c>
      <c r="F418" s="34">
        <f>VLOOKUP($B418,Town_Sage!$A$5:$D$399,4,0)</f>
        <v>0</v>
      </c>
      <c r="G418" s="34">
        <f t="shared" si="270"/>
        <v>32.619999999999997</v>
      </c>
      <c r="H418" s="34"/>
      <c r="I418" s="34"/>
      <c r="J418" s="34">
        <f t="shared" si="271"/>
        <v>0</v>
      </c>
      <c r="K418" s="34"/>
      <c r="L418" s="34"/>
      <c r="M418" s="34">
        <f t="shared" si="272"/>
        <v>0</v>
      </c>
      <c r="N418" s="34">
        <f t="shared" si="273"/>
        <v>32.619999999999997</v>
      </c>
      <c r="O418" s="34">
        <f t="shared" si="274"/>
        <v>0</v>
      </c>
      <c r="P418" s="34">
        <f t="shared" si="277"/>
        <v>32.619999999999997</v>
      </c>
    </row>
    <row r="419" spans="1:16" x14ac:dyDescent="0.25">
      <c r="A419" s="8" t="s">
        <v>238</v>
      </c>
      <c r="B419" s="4" t="str">
        <f t="shared" si="286"/>
        <v>5330</v>
      </c>
      <c r="C419" s="102">
        <v>6500</v>
      </c>
      <c r="E419" s="34">
        <f>VLOOKUP($B419,Town_Sage!$A$5:$D$399,3,0)</f>
        <v>6147.23</v>
      </c>
      <c r="F419" s="34">
        <f>VLOOKUP($B419,Town_Sage!$A$5:$D$399,4,0)</f>
        <v>0</v>
      </c>
      <c r="G419" s="34">
        <f t="shared" si="270"/>
        <v>6147.23</v>
      </c>
      <c r="H419" s="34"/>
      <c r="I419" s="34"/>
      <c r="J419" s="34">
        <f t="shared" si="271"/>
        <v>0</v>
      </c>
      <c r="K419" s="34"/>
      <c r="L419" s="34"/>
      <c r="M419" s="34">
        <f t="shared" si="272"/>
        <v>0</v>
      </c>
      <c r="N419" s="34">
        <f t="shared" si="273"/>
        <v>6147.23</v>
      </c>
      <c r="O419" s="34">
        <f t="shared" si="274"/>
        <v>0</v>
      </c>
      <c r="P419" s="34">
        <f t="shared" si="277"/>
        <v>6147.23</v>
      </c>
    </row>
    <row r="420" spans="1:16" x14ac:dyDescent="0.25">
      <c r="A420" s="8" t="s">
        <v>239</v>
      </c>
      <c r="B420" s="4" t="str">
        <f t="shared" si="286"/>
        <v>5362</v>
      </c>
      <c r="C420" s="102">
        <v>5500</v>
      </c>
      <c r="D420" s="98">
        <v>200</v>
      </c>
      <c r="E420" s="34">
        <f>VLOOKUP($B420,Town_Sage!$A$5:$D$399,3,0)</f>
        <v>5350.17</v>
      </c>
      <c r="F420" s="34">
        <f>VLOOKUP($B420,Town_Sage!$A$5:$D$399,4,0)</f>
        <v>0</v>
      </c>
      <c r="G420" s="34">
        <f t="shared" si="270"/>
        <v>5350.17</v>
      </c>
      <c r="H420" s="34"/>
      <c r="I420" s="34"/>
      <c r="J420" s="34">
        <f t="shared" si="271"/>
        <v>0</v>
      </c>
      <c r="K420" s="34"/>
      <c r="L420" s="34"/>
      <c r="M420" s="34">
        <f t="shared" si="272"/>
        <v>0</v>
      </c>
      <c r="N420" s="34">
        <f t="shared" si="273"/>
        <v>5350.17</v>
      </c>
      <c r="O420" s="34">
        <f t="shared" si="274"/>
        <v>0</v>
      </c>
      <c r="P420" s="34">
        <f t="shared" si="277"/>
        <v>5350.17</v>
      </c>
    </row>
    <row r="421" spans="1:16" x14ac:dyDescent="0.25">
      <c r="A421" s="8" t="s">
        <v>240</v>
      </c>
      <c r="B421" s="4" t="str">
        <f t="shared" si="286"/>
        <v>5363</v>
      </c>
      <c r="C421" s="102">
        <v>3500</v>
      </c>
      <c r="D421" s="98">
        <v>400</v>
      </c>
      <c r="E421" s="34">
        <f>VLOOKUP($B421,Town_Sage!$A$5:$D$399,3,0)</f>
        <v>3158.91</v>
      </c>
      <c r="F421" s="34">
        <f>VLOOKUP($B421,Town_Sage!$A$5:$D$399,4,0)</f>
        <v>0</v>
      </c>
      <c r="G421" s="34">
        <f t="shared" si="270"/>
        <v>3158.91</v>
      </c>
      <c r="H421" s="34"/>
      <c r="I421" s="34"/>
      <c r="J421" s="34">
        <f t="shared" si="271"/>
        <v>0</v>
      </c>
      <c r="K421" s="34"/>
      <c r="L421" s="34"/>
      <c r="M421" s="34">
        <f t="shared" si="272"/>
        <v>0</v>
      </c>
      <c r="N421" s="34">
        <f t="shared" si="273"/>
        <v>3158.91</v>
      </c>
      <c r="O421" s="34">
        <f t="shared" si="274"/>
        <v>0</v>
      </c>
      <c r="P421" s="34">
        <f t="shared" si="277"/>
        <v>3158.91</v>
      </c>
    </row>
    <row r="422" spans="1:16" x14ac:dyDescent="0.25">
      <c r="A422" s="8" t="s">
        <v>241</v>
      </c>
      <c r="B422" s="4" t="str">
        <f t="shared" si="286"/>
        <v>5364</v>
      </c>
      <c r="E422" s="34">
        <f>VLOOKUP($B422,Town_Sage!$A$5:$D$399,3,0)</f>
        <v>303.60000000000002</v>
      </c>
      <c r="F422" s="34">
        <f>VLOOKUP($B422,Town_Sage!$A$5:$D$399,4,0)</f>
        <v>0</v>
      </c>
      <c r="G422" s="34">
        <f t="shared" si="270"/>
        <v>303.60000000000002</v>
      </c>
      <c r="H422" s="34"/>
      <c r="I422" s="34"/>
      <c r="J422" s="34">
        <f t="shared" si="271"/>
        <v>0</v>
      </c>
      <c r="K422" s="34"/>
      <c r="L422" s="34"/>
      <c r="M422" s="34">
        <f t="shared" si="272"/>
        <v>0</v>
      </c>
      <c r="N422" s="34">
        <f t="shared" si="273"/>
        <v>303.60000000000002</v>
      </c>
      <c r="O422" s="34">
        <f t="shared" si="274"/>
        <v>0</v>
      </c>
      <c r="P422" s="34">
        <f t="shared" si="277"/>
        <v>303.60000000000002</v>
      </c>
    </row>
    <row r="423" spans="1:16" x14ac:dyDescent="0.25">
      <c r="A423" s="8" t="s">
        <v>242</v>
      </c>
      <c r="B423" s="4" t="str">
        <f t="shared" si="286"/>
        <v>5365</v>
      </c>
      <c r="C423" s="102">
        <v>3000</v>
      </c>
      <c r="E423" s="34">
        <f>VLOOKUP($B423,Town_Sage!$A$5:$D$399,3,0)</f>
        <v>2723.57</v>
      </c>
      <c r="F423" s="34">
        <f>VLOOKUP($B423,Town_Sage!$A$5:$D$399,4,0)</f>
        <v>0</v>
      </c>
      <c r="G423" s="34">
        <f t="shared" si="270"/>
        <v>2723.57</v>
      </c>
      <c r="H423" s="34"/>
      <c r="I423" s="34"/>
      <c r="J423" s="34">
        <f t="shared" si="271"/>
        <v>0</v>
      </c>
      <c r="K423" s="34"/>
      <c r="L423" s="34"/>
      <c r="M423" s="34">
        <f t="shared" si="272"/>
        <v>0</v>
      </c>
      <c r="N423" s="34">
        <f t="shared" si="273"/>
        <v>2723.57</v>
      </c>
      <c r="O423" s="34">
        <f t="shared" si="274"/>
        <v>0</v>
      </c>
      <c r="P423" s="34">
        <f t="shared" si="277"/>
        <v>2723.57</v>
      </c>
    </row>
    <row r="424" spans="1:16" x14ac:dyDescent="0.25">
      <c r="A424" s="8" t="s">
        <v>5</v>
      </c>
      <c r="C424" s="103">
        <f t="shared" ref="C424:D424" si="287">SUM(C418:C423)</f>
        <v>18800</v>
      </c>
      <c r="D424" s="99">
        <f t="shared" si="287"/>
        <v>600</v>
      </c>
      <c r="E424" s="35">
        <f>SUM(E418:E423)</f>
        <v>17716.100000000002</v>
      </c>
      <c r="F424" s="35">
        <f t="shared" ref="F424:P424" si="288">SUM(F418:F423)</f>
        <v>0</v>
      </c>
      <c r="G424" s="35">
        <f t="shared" si="288"/>
        <v>17716.100000000002</v>
      </c>
      <c r="H424" s="35">
        <f t="shared" si="288"/>
        <v>0</v>
      </c>
      <c r="I424" s="35">
        <f t="shared" si="288"/>
        <v>0</v>
      </c>
      <c r="J424" s="35">
        <f t="shared" si="288"/>
        <v>0</v>
      </c>
      <c r="K424" s="35">
        <f t="shared" si="288"/>
        <v>0</v>
      </c>
      <c r="L424" s="35">
        <f t="shared" si="288"/>
        <v>0</v>
      </c>
      <c r="M424" s="35">
        <f t="shared" si="288"/>
        <v>0</v>
      </c>
      <c r="N424" s="35">
        <f t="shared" si="288"/>
        <v>17716.100000000002</v>
      </c>
      <c r="O424" s="35">
        <f t="shared" si="288"/>
        <v>0</v>
      </c>
      <c r="P424" s="35">
        <f t="shared" si="288"/>
        <v>17716.100000000002</v>
      </c>
    </row>
    <row r="425" spans="1:16" x14ac:dyDescent="0.25">
      <c r="C425" s="104"/>
      <c r="D425" s="100"/>
      <c r="E425" s="34"/>
      <c r="F425" s="34"/>
      <c r="G425" s="34">
        <f t="shared" si="270"/>
        <v>0</v>
      </c>
      <c r="H425" s="34"/>
      <c r="I425" s="34"/>
      <c r="J425" s="34">
        <f t="shared" si="271"/>
        <v>0</v>
      </c>
      <c r="K425" s="34"/>
      <c r="L425" s="34"/>
      <c r="M425" s="34">
        <f t="shared" si="272"/>
        <v>0</v>
      </c>
      <c r="N425" s="34">
        <f t="shared" si="273"/>
        <v>0</v>
      </c>
      <c r="O425" s="34">
        <f t="shared" si="274"/>
        <v>0</v>
      </c>
      <c r="P425" s="34"/>
    </row>
    <row r="426" spans="1:16" x14ac:dyDescent="0.25">
      <c r="A426" s="9" t="s">
        <v>243</v>
      </c>
      <c r="B426" s="12" t="str">
        <f>LEFT(A426,5)</f>
        <v>40.17</v>
      </c>
      <c r="C426" s="103">
        <f t="shared" ref="C426:D426" si="289">C424</f>
        <v>18800</v>
      </c>
      <c r="D426" s="99">
        <f t="shared" si="289"/>
        <v>600</v>
      </c>
      <c r="E426" s="35">
        <f>E424</f>
        <v>17716.100000000002</v>
      </c>
      <c r="F426" s="35">
        <f t="shared" ref="F426:P426" si="290">F424</f>
        <v>0</v>
      </c>
      <c r="G426" s="35">
        <f t="shared" si="290"/>
        <v>17716.100000000002</v>
      </c>
      <c r="H426" s="35">
        <f t="shared" si="290"/>
        <v>0</v>
      </c>
      <c r="I426" s="35">
        <f t="shared" si="290"/>
        <v>0</v>
      </c>
      <c r="J426" s="35">
        <f t="shared" si="290"/>
        <v>0</v>
      </c>
      <c r="K426" s="35">
        <f t="shared" si="290"/>
        <v>0</v>
      </c>
      <c r="L426" s="35">
        <f t="shared" si="290"/>
        <v>0</v>
      </c>
      <c r="M426" s="35">
        <f t="shared" si="290"/>
        <v>0</v>
      </c>
      <c r="N426" s="35">
        <f t="shared" si="290"/>
        <v>17716.100000000002</v>
      </c>
      <c r="O426" s="35">
        <f t="shared" si="290"/>
        <v>0</v>
      </c>
      <c r="P426" s="35">
        <f t="shared" si="290"/>
        <v>17716.100000000002</v>
      </c>
    </row>
    <row r="427" spans="1:16" x14ac:dyDescent="0.25">
      <c r="E427" s="34"/>
      <c r="F427" s="34"/>
      <c r="G427" s="34">
        <f t="shared" si="270"/>
        <v>0</v>
      </c>
      <c r="H427" s="34"/>
      <c r="I427" s="34"/>
      <c r="J427" s="34">
        <f t="shared" si="271"/>
        <v>0</v>
      </c>
      <c r="K427" s="34"/>
      <c r="L427" s="34"/>
      <c r="M427" s="34">
        <f t="shared" si="272"/>
        <v>0</v>
      </c>
      <c r="N427" s="34">
        <f t="shared" si="273"/>
        <v>0</v>
      </c>
      <c r="O427" s="34">
        <f t="shared" si="274"/>
        <v>0</v>
      </c>
      <c r="P427" s="34"/>
    </row>
    <row r="428" spans="1:16" x14ac:dyDescent="0.25">
      <c r="A428" s="8" t="s">
        <v>244</v>
      </c>
      <c r="B428" s="4" t="str">
        <f>LEFT(A428,4)</f>
        <v>5375</v>
      </c>
      <c r="C428" s="102">
        <v>2500</v>
      </c>
      <c r="E428" s="34">
        <f>VLOOKUP($B428,Town_Sage!$A$5:$D$399,3,0)</f>
        <v>2405.9899999999998</v>
      </c>
      <c r="F428" s="34">
        <f>VLOOKUP($B428,Town_Sage!$A$5:$D$399,4,0)</f>
        <v>0</v>
      </c>
      <c r="G428" s="34">
        <f t="shared" si="270"/>
        <v>2405.9899999999998</v>
      </c>
      <c r="H428" s="34"/>
      <c r="I428" s="34"/>
      <c r="J428" s="34">
        <f t="shared" si="271"/>
        <v>0</v>
      </c>
      <c r="K428" s="34"/>
      <c r="L428" s="34"/>
      <c r="M428" s="34">
        <f t="shared" si="272"/>
        <v>0</v>
      </c>
      <c r="N428" s="34">
        <f t="shared" si="273"/>
        <v>2405.9899999999998</v>
      </c>
      <c r="O428" s="34">
        <f t="shared" si="274"/>
        <v>0</v>
      </c>
      <c r="P428" s="34">
        <f t="shared" si="277"/>
        <v>2405.9899999999998</v>
      </c>
    </row>
    <row r="429" spans="1:16" x14ac:dyDescent="0.25">
      <c r="A429" s="8" t="s">
        <v>5</v>
      </c>
      <c r="C429" s="103">
        <f t="shared" ref="C429:D429" si="291">C428</f>
        <v>2500</v>
      </c>
      <c r="D429" s="99">
        <f t="shared" si="291"/>
        <v>0</v>
      </c>
      <c r="E429" s="35">
        <f>E428</f>
        <v>2405.9899999999998</v>
      </c>
      <c r="F429" s="35">
        <f t="shared" ref="F429:P429" si="292">F428</f>
        <v>0</v>
      </c>
      <c r="G429" s="35">
        <f t="shared" si="292"/>
        <v>2405.9899999999998</v>
      </c>
      <c r="H429" s="35">
        <f t="shared" si="292"/>
        <v>0</v>
      </c>
      <c r="I429" s="35">
        <f t="shared" si="292"/>
        <v>0</v>
      </c>
      <c r="J429" s="35">
        <f t="shared" si="292"/>
        <v>0</v>
      </c>
      <c r="K429" s="35">
        <f t="shared" si="292"/>
        <v>0</v>
      </c>
      <c r="L429" s="35">
        <f t="shared" si="292"/>
        <v>0</v>
      </c>
      <c r="M429" s="35">
        <f t="shared" si="292"/>
        <v>0</v>
      </c>
      <c r="N429" s="35">
        <f t="shared" si="292"/>
        <v>2405.9899999999998</v>
      </c>
      <c r="O429" s="35">
        <f t="shared" si="292"/>
        <v>0</v>
      </c>
      <c r="P429" s="35">
        <f t="shared" si="292"/>
        <v>2405.9899999999998</v>
      </c>
    </row>
    <row r="430" spans="1:16" x14ac:dyDescent="0.25">
      <c r="C430" s="104"/>
      <c r="D430" s="100"/>
      <c r="E430" s="34"/>
      <c r="F430" s="34"/>
      <c r="G430" s="34">
        <f t="shared" si="270"/>
        <v>0</v>
      </c>
      <c r="H430" s="34"/>
      <c r="I430" s="34"/>
      <c r="J430" s="34">
        <f t="shared" si="271"/>
        <v>0</v>
      </c>
      <c r="K430" s="34"/>
      <c r="L430" s="34"/>
      <c r="M430" s="34">
        <f t="shared" si="272"/>
        <v>0</v>
      </c>
      <c r="N430" s="34">
        <f t="shared" si="273"/>
        <v>0</v>
      </c>
      <c r="O430" s="34">
        <f t="shared" si="274"/>
        <v>0</v>
      </c>
      <c r="P430" s="34"/>
    </row>
    <row r="431" spans="1:16" x14ac:dyDescent="0.25">
      <c r="A431" s="9" t="s">
        <v>245</v>
      </c>
      <c r="B431" s="12" t="str">
        <f>LEFT(A431,5)</f>
        <v>40.24</v>
      </c>
      <c r="C431" s="103">
        <f t="shared" ref="C431:D431" si="293">C429</f>
        <v>2500</v>
      </c>
      <c r="D431" s="99">
        <f t="shared" si="293"/>
        <v>0</v>
      </c>
      <c r="E431" s="35">
        <f>E429</f>
        <v>2405.9899999999998</v>
      </c>
      <c r="F431" s="35">
        <f t="shared" ref="F431:P431" si="294">F429</f>
        <v>0</v>
      </c>
      <c r="G431" s="35">
        <f t="shared" si="294"/>
        <v>2405.9899999999998</v>
      </c>
      <c r="H431" s="35">
        <f t="shared" si="294"/>
        <v>0</v>
      </c>
      <c r="I431" s="35">
        <f t="shared" si="294"/>
        <v>0</v>
      </c>
      <c r="J431" s="35">
        <f t="shared" si="294"/>
        <v>0</v>
      </c>
      <c r="K431" s="35">
        <f t="shared" si="294"/>
        <v>0</v>
      </c>
      <c r="L431" s="35">
        <f t="shared" si="294"/>
        <v>0</v>
      </c>
      <c r="M431" s="35">
        <f t="shared" si="294"/>
        <v>0</v>
      </c>
      <c r="N431" s="35">
        <f t="shared" si="294"/>
        <v>2405.9899999999998</v>
      </c>
      <c r="O431" s="35">
        <f t="shared" si="294"/>
        <v>0</v>
      </c>
      <c r="P431" s="35">
        <f t="shared" si="294"/>
        <v>2405.9899999999998</v>
      </c>
    </row>
    <row r="432" spans="1:16" x14ac:dyDescent="0.25">
      <c r="E432" s="34"/>
      <c r="F432" s="34"/>
      <c r="G432" s="34">
        <f t="shared" si="270"/>
        <v>0</v>
      </c>
      <c r="H432" s="34"/>
      <c r="I432" s="34"/>
      <c r="J432" s="34">
        <f t="shared" si="271"/>
        <v>0</v>
      </c>
      <c r="K432" s="34"/>
      <c r="L432" s="34"/>
      <c r="M432" s="34">
        <f t="shared" si="272"/>
        <v>0</v>
      </c>
      <c r="N432" s="34">
        <f t="shared" si="273"/>
        <v>0</v>
      </c>
      <c r="O432" s="34">
        <f t="shared" si="274"/>
        <v>0</v>
      </c>
      <c r="P432" s="34"/>
    </row>
    <row r="433" spans="1:20" x14ac:dyDescent="0.25">
      <c r="A433" s="8" t="s">
        <v>246</v>
      </c>
      <c r="B433" s="4" t="str">
        <f>LEFT(A433,4)</f>
        <v>5376</v>
      </c>
      <c r="C433" s="102">
        <v>1000</v>
      </c>
      <c r="D433" s="98">
        <v>600</v>
      </c>
      <c r="E433" s="34">
        <f>VLOOKUP($B433,Town_Sage!$A$5:$D$399,3,0)</f>
        <v>443.12</v>
      </c>
      <c r="F433" s="34">
        <f>VLOOKUP($B433,Town_Sage!$A$5:$D$399,4,0)</f>
        <v>0</v>
      </c>
      <c r="G433" s="34">
        <f t="shared" si="270"/>
        <v>443.12</v>
      </c>
      <c r="H433" s="34"/>
      <c r="I433" s="34"/>
      <c r="J433" s="34">
        <f t="shared" si="271"/>
        <v>0</v>
      </c>
      <c r="K433" s="34"/>
      <c r="L433" s="34"/>
      <c r="M433" s="34">
        <f t="shared" si="272"/>
        <v>0</v>
      </c>
      <c r="N433" s="34">
        <f t="shared" si="273"/>
        <v>443.12</v>
      </c>
      <c r="O433" s="34">
        <f t="shared" si="274"/>
        <v>0</v>
      </c>
      <c r="P433" s="34">
        <f t="shared" si="277"/>
        <v>443.12</v>
      </c>
      <c r="R433" s="4" t="s">
        <v>2224</v>
      </c>
    </row>
    <row r="434" spans="1:20" x14ac:dyDescent="0.25">
      <c r="A434" s="8" t="s">
        <v>5</v>
      </c>
      <c r="C434" s="103">
        <f t="shared" ref="C434:D434" si="295">C433</f>
        <v>1000</v>
      </c>
      <c r="D434" s="99">
        <f t="shared" si="295"/>
        <v>600</v>
      </c>
      <c r="E434" s="35">
        <f>E433</f>
        <v>443.12</v>
      </c>
      <c r="F434" s="35">
        <f t="shared" ref="F434:P434" si="296">F433</f>
        <v>0</v>
      </c>
      <c r="G434" s="35">
        <f t="shared" si="296"/>
        <v>443.12</v>
      </c>
      <c r="H434" s="35">
        <f t="shared" si="296"/>
        <v>0</v>
      </c>
      <c r="I434" s="35">
        <f t="shared" si="296"/>
        <v>0</v>
      </c>
      <c r="J434" s="35">
        <f t="shared" si="296"/>
        <v>0</v>
      </c>
      <c r="K434" s="35">
        <f t="shared" si="296"/>
        <v>0</v>
      </c>
      <c r="L434" s="35">
        <f t="shared" si="296"/>
        <v>0</v>
      </c>
      <c r="M434" s="35">
        <f t="shared" si="296"/>
        <v>0</v>
      </c>
      <c r="N434" s="35">
        <f t="shared" si="296"/>
        <v>443.12</v>
      </c>
      <c r="O434" s="35">
        <f t="shared" si="296"/>
        <v>0</v>
      </c>
      <c r="P434" s="35">
        <f t="shared" si="296"/>
        <v>443.12</v>
      </c>
    </row>
    <row r="435" spans="1:20" x14ac:dyDescent="0.25">
      <c r="C435" s="104"/>
      <c r="D435" s="100"/>
      <c r="E435" s="34"/>
      <c r="F435" s="34"/>
      <c r="G435" s="34">
        <f t="shared" si="270"/>
        <v>0</v>
      </c>
      <c r="H435" s="34"/>
      <c r="I435" s="34"/>
      <c r="J435" s="34">
        <f t="shared" si="271"/>
        <v>0</v>
      </c>
      <c r="K435" s="34"/>
      <c r="L435" s="34"/>
      <c r="M435" s="34">
        <f t="shared" si="272"/>
        <v>0</v>
      </c>
      <c r="N435" s="34">
        <f t="shared" si="273"/>
        <v>0</v>
      </c>
      <c r="O435" s="34">
        <f t="shared" si="274"/>
        <v>0</v>
      </c>
      <c r="P435" s="34">
        <f t="shared" si="277"/>
        <v>0</v>
      </c>
    </row>
    <row r="436" spans="1:20" x14ac:dyDescent="0.25">
      <c r="A436" s="9" t="s">
        <v>247</v>
      </c>
      <c r="B436" s="12" t="str">
        <f>LEFT(A436,5)</f>
        <v>40.25</v>
      </c>
      <c r="C436" s="103">
        <f t="shared" ref="C436:D436" si="297">C434</f>
        <v>1000</v>
      </c>
      <c r="D436" s="99">
        <f t="shared" si="297"/>
        <v>600</v>
      </c>
      <c r="E436" s="35">
        <f>E434</f>
        <v>443.12</v>
      </c>
      <c r="F436" s="35">
        <f t="shared" ref="F436:P436" si="298">F434</f>
        <v>0</v>
      </c>
      <c r="G436" s="35">
        <f t="shared" si="298"/>
        <v>443.12</v>
      </c>
      <c r="H436" s="35">
        <f t="shared" si="298"/>
        <v>0</v>
      </c>
      <c r="I436" s="35">
        <f t="shared" si="298"/>
        <v>0</v>
      </c>
      <c r="J436" s="35">
        <f t="shared" si="298"/>
        <v>0</v>
      </c>
      <c r="K436" s="35">
        <f t="shared" si="298"/>
        <v>0</v>
      </c>
      <c r="L436" s="35">
        <f t="shared" si="298"/>
        <v>0</v>
      </c>
      <c r="M436" s="35">
        <f t="shared" si="298"/>
        <v>0</v>
      </c>
      <c r="N436" s="35">
        <f t="shared" si="298"/>
        <v>443.12</v>
      </c>
      <c r="O436" s="35">
        <f t="shared" si="298"/>
        <v>0</v>
      </c>
      <c r="P436" s="35">
        <f t="shared" si="298"/>
        <v>443.12</v>
      </c>
    </row>
    <row r="437" spans="1:20" x14ac:dyDescent="0.25">
      <c r="E437" s="34"/>
      <c r="F437" s="34"/>
      <c r="G437" s="34">
        <f t="shared" si="270"/>
        <v>0</v>
      </c>
      <c r="H437" s="34"/>
      <c r="I437" s="34"/>
      <c r="J437" s="34">
        <f t="shared" si="271"/>
        <v>0</v>
      </c>
      <c r="K437" s="34"/>
      <c r="L437" s="34"/>
      <c r="M437" s="34">
        <f t="shared" si="272"/>
        <v>0</v>
      </c>
      <c r="N437" s="34">
        <f t="shared" si="273"/>
        <v>0</v>
      </c>
      <c r="O437" s="34">
        <f t="shared" si="274"/>
        <v>0</v>
      </c>
      <c r="P437" s="34"/>
    </row>
    <row r="438" spans="1:20" x14ac:dyDescent="0.25">
      <c r="A438" s="8" t="s">
        <v>248</v>
      </c>
      <c r="B438" s="4" t="str">
        <f>LEFT(A438,4)</f>
        <v>5367</v>
      </c>
      <c r="C438" s="102">
        <v>17500</v>
      </c>
      <c r="D438" s="98">
        <v>1500</v>
      </c>
      <c r="E438" s="34">
        <f>VLOOKUP($B438,Town_Sage!$A$5:$D$399,3,0)</f>
        <v>15780.16</v>
      </c>
      <c r="F438" s="34">
        <f>VLOOKUP($B438,Town_Sage!$A$5:$D$399,4,0)</f>
        <v>0</v>
      </c>
      <c r="G438" s="34">
        <f t="shared" si="270"/>
        <v>15780.16</v>
      </c>
      <c r="H438" s="34"/>
      <c r="I438" s="34"/>
      <c r="J438" s="34">
        <f t="shared" si="271"/>
        <v>0</v>
      </c>
      <c r="K438" s="34"/>
      <c r="L438" s="34"/>
      <c r="M438" s="34">
        <f t="shared" si="272"/>
        <v>0</v>
      </c>
      <c r="N438" s="34">
        <f t="shared" si="273"/>
        <v>15780.16</v>
      </c>
      <c r="O438" s="34">
        <f t="shared" si="274"/>
        <v>0</v>
      </c>
      <c r="P438" s="34">
        <f t="shared" si="277"/>
        <v>15780.16</v>
      </c>
    </row>
    <row r="439" spans="1:20" x14ac:dyDescent="0.25">
      <c r="A439" s="8" t="s">
        <v>5</v>
      </c>
      <c r="C439" s="103">
        <f t="shared" ref="C439:D439" si="299">C438</f>
        <v>17500</v>
      </c>
      <c r="D439" s="99">
        <f t="shared" si="299"/>
        <v>1500</v>
      </c>
      <c r="E439" s="35">
        <f>E438</f>
        <v>15780.16</v>
      </c>
      <c r="F439" s="35">
        <f t="shared" ref="F439:P439" si="300">F438</f>
        <v>0</v>
      </c>
      <c r="G439" s="35">
        <f t="shared" si="300"/>
        <v>15780.16</v>
      </c>
      <c r="H439" s="35">
        <f t="shared" si="300"/>
        <v>0</v>
      </c>
      <c r="I439" s="35">
        <f t="shared" si="300"/>
        <v>0</v>
      </c>
      <c r="J439" s="35">
        <f t="shared" si="300"/>
        <v>0</v>
      </c>
      <c r="K439" s="35">
        <f t="shared" si="300"/>
        <v>0</v>
      </c>
      <c r="L439" s="35">
        <f t="shared" si="300"/>
        <v>0</v>
      </c>
      <c r="M439" s="35">
        <f t="shared" si="300"/>
        <v>0</v>
      </c>
      <c r="N439" s="35">
        <f t="shared" si="300"/>
        <v>15780.16</v>
      </c>
      <c r="O439" s="35">
        <f t="shared" si="300"/>
        <v>0</v>
      </c>
      <c r="P439" s="35">
        <f t="shared" si="300"/>
        <v>15780.16</v>
      </c>
    </row>
    <row r="440" spans="1:20" x14ac:dyDescent="0.25">
      <c r="C440" s="104"/>
      <c r="D440" s="100"/>
      <c r="E440" s="34"/>
      <c r="F440" s="34"/>
      <c r="G440" s="34">
        <f t="shared" si="270"/>
        <v>0</v>
      </c>
      <c r="H440" s="34"/>
      <c r="I440" s="34"/>
      <c r="J440" s="34">
        <f t="shared" si="271"/>
        <v>0</v>
      </c>
      <c r="K440" s="34"/>
      <c r="L440" s="34"/>
      <c r="M440" s="34">
        <f t="shared" si="272"/>
        <v>0</v>
      </c>
      <c r="N440" s="34">
        <f t="shared" si="273"/>
        <v>0</v>
      </c>
      <c r="O440" s="34">
        <f t="shared" si="274"/>
        <v>0</v>
      </c>
      <c r="P440" s="34"/>
    </row>
    <row r="441" spans="1:20" x14ac:dyDescent="0.25">
      <c r="A441" s="9" t="s">
        <v>249</v>
      </c>
      <c r="B441" s="12" t="str">
        <f>LEFT(A441,5)</f>
        <v>40.27</v>
      </c>
      <c r="C441" s="103">
        <f t="shared" ref="C441:D441" si="301">C439</f>
        <v>17500</v>
      </c>
      <c r="D441" s="99">
        <f t="shared" si="301"/>
        <v>1500</v>
      </c>
      <c r="E441" s="35">
        <f>E439</f>
        <v>15780.16</v>
      </c>
      <c r="F441" s="35">
        <f t="shared" ref="F441:P441" si="302">F439</f>
        <v>0</v>
      </c>
      <c r="G441" s="35">
        <f t="shared" si="302"/>
        <v>15780.16</v>
      </c>
      <c r="H441" s="35">
        <f t="shared" si="302"/>
        <v>0</v>
      </c>
      <c r="I441" s="35">
        <f t="shared" si="302"/>
        <v>0</v>
      </c>
      <c r="J441" s="35">
        <f t="shared" si="302"/>
        <v>0</v>
      </c>
      <c r="K441" s="35">
        <f t="shared" si="302"/>
        <v>0</v>
      </c>
      <c r="L441" s="35">
        <f t="shared" si="302"/>
        <v>0</v>
      </c>
      <c r="M441" s="35">
        <f t="shared" si="302"/>
        <v>0</v>
      </c>
      <c r="N441" s="35">
        <f t="shared" si="302"/>
        <v>15780.16</v>
      </c>
      <c r="O441" s="35">
        <f t="shared" si="302"/>
        <v>0</v>
      </c>
      <c r="P441" s="35">
        <f t="shared" si="302"/>
        <v>15780.16</v>
      </c>
    </row>
    <row r="442" spans="1:20" x14ac:dyDescent="0.25">
      <c r="E442" s="34"/>
      <c r="F442" s="34"/>
      <c r="G442" s="34">
        <f t="shared" si="270"/>
        <v>0</v>
      </c>
      <c r="H442" s="34"/>
      <c r="I442" s="34"/>
      <c r="J442" s="34">
        <f t="shared" si="271"/>
        <v>0</v>
      </c>
      <c r="K442" s="34"/>
      <c r="L442" s="34"/>
      <c r="M442" s="34">
        <f t="shared" si="272"/>
        <v>0</v>
      </c>
      <c r="N442" s="34">
        <f t="shared" si="273"/>
        <v>0</v>
      </c>
      <c r="O442" s="34">
        <f t="shared" si="274"/>
        <v>0</v>
      </c>
      <c r="P442" s="34"/>
    </row>
    <row r="443" spans="1:20" x14ac:dyDescent="0.25">
      <c r="A443" s="8" t="s">
        <v>250</v>
      </c>
      <c r="B443" s="4" t="str">
        <f>LEFT(A443,4)</f>
        <v>5310</v>
      </c>
      <c r="C443" s="102">
        <v>25000</v>
      </c>
      <c r="D443" s="98">
        <v>6000</v>
      </c>
      <c r="E443" s="34">
        <f>VLOOKUP($B443,Town_Sage!$A$5:$D$399,3,0)</f>
        <v>18195.84</v>
      </c>
      <c r="F443" s="34">
        <f>VLOOKUP($B443,Town_Sage!$A$5:$D$399,4,0)</f>
        <v>0</v>
      </c>
      <c r="G443" s="34">
        <f t="shared" si="270"/>
        <v>18195.84</v>
      </c>
      <c r="H443" s="34"/>
      <c r="I443" s="34"/>
      <c r="J443" s="34">
        <f t="shared" si="271"/>
        <v>0</v>
      </c>
      <c r="K443" s="34"/>
      <c r="L443" s="34"/>
      <c r="M443" s="34">
        <f t="shared" si="272"/>
        <v>0</v>
      </c>
      <c r="N443" s="34">
        <f t="shared" si="273"/>
        <v>18195.84</v>
      </c>
      <c r="O443" s="34">
        <f t="shared" si="274"/>
        <v>0</v>
      </c>
      <c r="P443" s="34">
        <f t="shared" si="277"/>
        <v>18195.84</v>
      </c>
    </row>
    <row r="444" spans="1:20" x14ac:dyDescent="0.25">
      <c r="A444" s="8" t="s">
        <v>5</v>
      </c>
      <c r="C444" s="103">
        <f t="shared" ref="C444:D444" si="303">C443</f>
        <v>25000</v>
      </c>
      <c r="D444" s="99">
        <f t="shared" si="303"/>
        <v>6000</v>
      </c>
      <c r="E444" s="35">
        <f>E443</f>
        <v>18195.84</v>
      </c>
      <c r="F444" s="35">
        <f t="shared" ref="F444:P444" si="304">F443</f>
        <v>0</v>
      </c>
      <c r="G444" s="35">
        <f t="shared" si="304"/>
        <v>18195.84</v>
      </c>
      <c r="H444" s="35">
        <f t="shared" si="304"/>
        <v>0</v>
      </c>
      <c r="I444" s="35">
        <f t="shared" si="304"/>
        <v>0</v>
      </c>
      <c r="J444" s="35">
        <f t="shared" si="304"/>
        <v>0</v>
      </c>
      <c r="K444" s="35">
        <f t="shared" si="304"/>
        <v>0</v>
      </c>
      <c r="L444" s="35">
        <f t="shared" si="304"/>
        <v>0</v>
      </c>
      <c r="M444" s="35">
        <f t="shared" si="304"/>
        <v>0</v>
      </c>
      <c r="N444" s="35">
        <f t="shared" si="304"/>
        <v>18195.84</v>
      </c>
      <c r="O444" s="35">
        <f t="shared" si="304"/>
        <v>0</v>
      </c>
      <c r="P444" s="35">
        <f t="shared" si="304"/>
        <v>18195.84</v>
      </c>
    </row>
    <row r="445" spans="1:20" x14ac:dyDescent="0.25">
      <c r="C445" s="104"/>
      <c r="D445" s="100"/>
      <c r="E445" s="34"/>
      <c r="F445" s="34"/>
      <c r="G445" s="34">
        <f t="shared" si="270"/>
        <v>0</v>
      </c>
      <c r="H445" s="34"/>
      <c r="I445" s="34"/>
      <c r="J445" s="34">
        <f t="shared" si="271"/>
        <v>0</v>
      </c>
      <c r="K445" s="34"/>
      <c r="L445" s="34"/>
      <c r="M445" s="34">
        <f t="shared" si="272"/>
        <v>0</v>
      </c>
      <c r="N445" s="34">
        <f t="shared" si="273"/>
        <v>0</v>
      </c>
      <c r="O445" s="34">
        <f t="shared" si="274"/>
        <v>0</v>
      </c>
      <c r="P445" s="34"/>
    </row>
    <row r="446" spans="1:20" x14ac:dyDescent="0.25">
      <c r="A446" s="9" t="s">
        <v>251</v>
      </c>
      <c r="B446" s="12" t="str">
        <f>LEFT(A446,5)</f>
        <v>40.30</v>
      </c>
      <c r="C446" s="103">
        <f t="shared" ref="C446:D446" si="305">C444</f>
        <v>25000</v>
      </c>
      <c r="D446" s="99">
        <f t="shared" si="305"/>
        <v>6000</v>
      </c>
      <c r="E446" s="35">
        <f>E444</f>
        <v>18195.84</v>
      </c>
      <c r="F446" s="35">
        <f t="shared" ref="F446:P446" si="306">F444</f>
        <v>0</v>
      </c>
      <c r="G446" s="35">
        <f t="shared" si="306"/>
        <v>18195.84</v>
      </c>
      <c r="H446" s="35">
        <f t="shared" si="306"/>
        <v>0</v>
      </c>
      <c r="I446" s="35">
        <f t="shared" si="306"/>
        <v>0</v>
      </c>
      <c r="J446" s="35">
        <f t="shared" si="306"/>
        <v>0</v>
      </c>
      <c r="K446" s="35">
        <f t="shared" si="306"/>
        <v>0</v>
      </c>
      <c r="L446" s="35">
        <f t="shared" si="306"/>
        <v>0</v>
      </c>
      <c r="M446" s="35">
        <f t="shared" si="306"/>
        <v>0</v>
      </c>
      <c r="N446" s="35">
        <f t="shared" si="306"/>
        <v>18195.84</v>
      </c>
      <c r="O446" s="35">
        <f t="shared" si="306"/>
        <v>0</v>
      </c>
      <c r="P446" s="35">
        <f t="shared" si="306"/>
        <v>18195.84</v>
      </c>
    </row>
    <row r="447" spans="1:20" x14ac:dyDescent="0.25">
      <c r="E447" s="34"/>
      <c r="F447" s="34"/>
      <c r="G447" s="34">
        <f t="shared" si="270"/>
        <v>0</v>
      </c>
      <c r="H447" s="34"/>
      <c r="I447" s="34"/>
      <c r="J447" s="34">
        <f t="shared" si="271"/>
        <v>0</v>
      </c>
      <c r="K447" s="34"/>
      <c r="L447" s="34"/>
      <c r="M447" s="34">
        <f t="shared" si="272"/>
        <v>0</v>
      </c>
      <c r="N447" s="34">
        <f t="shared" si="273"/>
        <v>0</v>
      </c>
      <c r="O447" s="34">
        <f t="shared" si="274"/>
        <v>0</v>
      </c>
      <c r="P447" s="34"/>
    </row>
    <row r="448" spans="1:20" x14ac:dyDescent="0.25">
      <c r="A448" s="114" t="s">
        <v>252</v>
      </c>
      <c r="B448" s="4" t="str">
        <f>LEFT(A448,4)</f>
        <v>5387</v>
      </c>
      <c r="C448" s="102">
        <f>-69667-69667-29600</f>
        <v>-168934</v>
      </c>
      <c r="D448" s="98">
        <f>-65089-65089-28700</f>
        <v>-158878</v>
      </c>
      <c r="E448" s="191">
        <f>VLOOKUP($B448,Town_Sage!$A$5:$D$399,3,0)</f>
        <v>0</v>
      </c>
      <c r="F448" s="191">
        <f>VLOOKUP($B448,Town_Sage!$A$5:$D$399,4,0)</f>
        <v>0</v>
      </c>
      <c r="G448" s="191">
        <f t="shared" si="270"/>
        <v>0</v>
      </c>
      <c r="H448" s="191"/>
      <c r="I448" s="191"/>
      <c r="J448" s="191">
        <f t="shared" si="271"/>
        <v>0</v>
      </c>
      <c r="K448" s="191"/>
      <c r="L448" s="191"/>
      <c r="M448" s="191">
        <f t="shared" si="272"/>
        <v>0</v>
      </c>
      <c r="N448" s="191">
        <f t="shared" si="273"/>
        <v>0</v>
      </c>
      <c r="O448" s="191">
        <f t="shared" si="274"/>
        <v>0</v>
      </c>
      <c r="P448" s="191">
        <f t="shared" si="277"/>
        <v>0</v>
      </c>
      <c r="R448" s="4" t="s">
        <v>2119</v>
      </c>
      <c r="T448" s="4" t="s">
        <v>2287</v>
      </c>
    </row>
    <row r="449" spans="1:16" x14ac:dyDescent="0.25">
      <c r="A449" s="8" t="s">
        <v>5</v>
      </c>
      <c r="C449" s="103">
        <f t="shared" ref="C449:D449" si="307">C448</f>
        <v>-168934</v>
      </c>
      <c r="D449" s="99">
        <f t="shared" si="307"/>
        <v>-158878</v>
      </c>
      <c r="E449" s="35">
        <f>E448</f>
        <v>0</v>
      </c>
      <c r="F449" s="35">
        <f t="shared" ref="F449:P449" si="308">F448</f>
        <v>0</v>
      </c>
      <c r="G449" s="35">
        <f t="shared" si="308"/>
        <v>0</v>
      </c>
      <c r="H449" s="35">
        <f t="shared" si="308"/>
        <v>0</v>
      </c>
      <c r="I449" s="35">
        <f t="shared" si="308"/>
        <v>0</v>
      </c>
      <c r="J449" s="35">
        <f t="shared" si="308"/>
        <v>0</v>
      </c>
      <c r="K449" s="35">
        <f t="shared" si="308"/>
        <v>0</v>
      </c>
      <c r="L449" s="35">
        <f t="shared" si="308"/>
        <v>0</v>
      </c>
      <c r="M449" s="35">
        <f t="shared" si="308"/>
        <v>0</v>
      </c>
      <c r="N449" s="35">
        <f t="shared" si="308"/>
        <v>0</v>
      </c>
      <c r="O449" s="35">
        <f t="shared" si="308"/>
        <v>0</v>
      </c>
      <c r="P449" s="35">
        <f t="shared" si="308"/>
        <v>0</v>
      </c>
    </row>
    <row r="450" spans="1:16" x14ac:dyDescent="0.25">
      <c r="C450" s="104"/>
      <c r="D450" s="100"/>
      <c r="E450" s="34"/>
      <c r="F450" s="34"/>
      <c r="G450" s="34">
        <f t="shared" si="270"/>
        <v>0</v>
      </c>
      <c r="H450" s="34"/>
      <c r="I450" s="34"/>
      <c r="J450" s="34">
        <f t="shared" si="271"/>
        <v>0</v>
      </c>
      <c r="K450" s="34"/>
      <c r="L450" s="34"/>
      <c r="M450" s="34">
        <f t="shared" si="272"/>
        <v>0</v>
      </c>
      <c r="N450" s="34">
        <f t="shared" si="273"/>
        <v>0</v>
      </c>
      <c r="O450" s="34">
        <f t="shared" si="274"/>
        <v>0</v>
      </c>
      <c r="P450" s="34"/>
    </row>
    <row r="451" spans="1:16" x14ac:dyDescent="0.25">
      <c r="A451" s="9" t="s">
        <v>253</v>
      </c>
      <c r="B451" s="12" t="str">
        <f>LEFT(A451,5)</f>
        <v>40.34</v>
      </c>
      <c r="C451" s="103">
        <f t="shared" ref="C451:D451" si="309">C449</f>
        <v>-168934</v>
      </c>
      <c r="D451" s="99">
        <f t="shared" si="309"/>
        <v>-158878</v>
      </c>
      <c r="E451" s="35">
        <f>E449</f>
        <v>0</v>
      </c>
      <c r="F451" s="35">
        <f t="shared" ref="F451:P451" si="310">F449</f>
        <v>0</v>
      </c>
      <c r="G451" s="35">
        <f t="shared" si="310"/>
        <v>0</v>
      </c>
      <c r="H451" s="35">
        <f t="shared" si="310"/>
        <v>0</v>
      </c>
      <c r="I451" s="35">
        <f t="shared" si="310"/>
        <v>0</v>
      </c>
      <c r="J451" s="35">
        <f t="shared" si="310"/>
        <v>0</v>
      </c>
      <c r="K451" s="35">
        <f t="shared" si="310"/>
        <v>0</v>
      </c>
      <c r="L451" s="35">
        <f t="shared" si="310"/>
        <v>0</v>
      </c>
      <c r="M451" s="35">
        <f t="shared" si="310"/>
        <v>0</v>
      </c>
      <c r="N451" s="35">
        <f t="shared" si="310"/>
        <v>0</v>
      </c>
      <c r="O451" s="35">
        <f t="shared" si="310"/>
        <v>0</v>
      </c>
      <c r="P451" s="35">
        <f t="shared" si="310"/>
        <v>0</v>
      </c>
    </row>
    <row r="452" spans="1:16" x14ac:dyDescent="0.25">
      <c r="E452" s="34"/>
      <c r="F452" s="34"/>
      <c r="G452" s="34">
        <f t="shared" si="270"/>
        <v>0</v>
      </c>
      <c r="H452" s="34"/>
      <c r="I452" s="34"/>
      <c r="J452" s="34">
        <f t="shared" si="271"/>
        <v>0</v>
      </c>
      <c r="K452" s="34"/>
      <c r="L452" s="34"/>
      <c r="M452" s="34">
        <f t="shared" si="272"/>
        <v>0</v>
      </c>
      <c r="N452" s="34">
        <f t="shared" si="273"/>
        <v>0</v>
      </c>
      <c r="O452" s="34">
        <f t="shared" si="274"/>
        <v>0</v>
      </c>
      <c r="P452" s="34"/>
    </row>
    <row r="453" spans="1:16" x14ac:dyDescent="0.25">
      <c r="A453" s="8" t="s">
        <v>254</v>
      </c>
      <c r="B453" s="4" t="str">
        <f>LEFT(A453,4)</f>
        <v>5372</v>
      </c>
      <c r="C453" s="102">
        <v>8000</v>
      </c>
      <c r="D453" s="98">
        <v>0</v>
      </c>
      <c r="E453" s="34">
        <f>VLOOKUP($B453,Town_Sage!$A$5:$D$399,3,0)</f>
        <v>6694.09</v>
      </c>
      <c r="F453" s="34">
        <f>VLOOKUP($B453,Town_Sage!$A$5:$D$399,4,0)</f>
        <v>0</v>
      </c>
      <c r="G453" s="34">
        <f t="shared" si="270"/>
        <v>6694.09</v>
      </c>
      <c r="H453" s="34"/>
      <c r="I453" s="34"/>
      <c r="J453" s="34">
        <f t="shared" si="271"/>
        <v>0</v>
      </c>
      <c r="K453" s="34"/>
      <c r="L453" s="34"/>
      <c r="M453" s="34">
        <f t="shared" si="272"/>
        <v>0</v>
      </c>
      <c r="N453" s="34">
        <f t="shared" si="273"/>
        <v>6694.09</v>
      </c>
      <c r="O453" s="34">
        <f t="shared" si="274"/>
        <v>0</v>
      </c>
      <c r="P453" s="34">
        <f t="shared" si="277"/>
        <v>6694.09</v>
      </c>
    </row>
    <row r="454" spans="1:16" x14ac:dyDescent="0.25">
      <c r="A454" s="8" t="s">
        <v>5</v>
      </c>
      <c r="C454" s="103">
        <f t="shared" ref="C454:D454" si="311">C453</f>
        <v>8000</v>
      </c>
      <c r="D454" s="99">
        <f t="shared" si="311"/>
        <v>0</v>
      </c>
      <c r="E454" s="35">
        <f>E453</f>
        <v>6694.09</v>
      </c>
      <c r="F454" s="35">
        <f t="shared" ref="F454:P454" si="312">F453</f>
        <v>0</v>
      </c>
      <c r="G454" s="35">
        <f t="shared" si="312"/>
        <v>6694.09</v>
      </c>
      <c r="H454" s="35">
        <f t="shared" si="312"/>
        <v>0</v>
      </c>
      <c r="I454" s="35">
        <f t="shared" si="312"/>
        <v>0</v>
      </c>
      <c r="J454" s="35">
        <f t="shared" si="312"/>
        <v>0</v>
      </c>
      <c r="K454" s="35">
        <f t="shared" si="312"/>
        <v>0</v>
      </c>
      <c r="L454" s="35">
        <f t="shared" si="312"/>
        <v>0</v>
      </c>
      <c r="M454" s="35">
        <f t="shared" si="312"/>
        <v>0</v>
      </c>
      <c r="N454" s="35">
        <f t="shared" si="312"/>
        <v>6694.09</v>
      </c>
      <c r="O454" s="35">
        <f t="shared" si="312"/>
        <v>0</v>
      </c>
      <c r="P454" s="35">
        <f t="shared" si="312"/>
        <v>6694.09</v>
      </c>
    </row>
    <row r="455" spans="1:16" x14ac:dyDescent="0.25">
      <c r="C455" s="104"/>
      <c r="D455" s="100"/>
      <c r="E455" s="34"/>
      <c r="F455" s="34"/>
      <c r="G455" s="34">
        <f t="shared" si="270"/>
        <v>0</v>
      </c>
      <c r="H455" s="34"/>
      <c r="I455" s="34"/>
      <c r="J455" s="34">
        <f t="shared" si="271"/>
        <v>0</v>
      </c>
      <c r="K455" s="34"/>
      <c r="L455" s="34"/>
      <c r="M455" s="34">
        <f t="shared" si="272"/>
        <v>0</v>
      </c>
      <c r="N455" s="34">
        <f t="shared" si="273"/>
        <v>0</v>
      </c>
      <c r="O455" s="34">
        <f t="shared" si="274"/>
        <v>0</v>
      </c>
      <c r="P455" s="34"/>
    </row>
    <row r="456" spans="1:16" x14ac:dyDescent="0.25">
      <c r="A456" s="9" t="s">
        <v>255</v>
      </c>
      <c r="B456" s="12" t="str">
        <f>LEFT(A456,5)</f>
        <v>40.37</v>
      </c>
      <c r="C456" s="103">
        <f t="shared" ref="C456:D456" si="313">C454</f>
        <v>8000</v>
      </c>
      <c r="D456" s="99">
        <f t="shared" si="313"/>
        <v>0</v>
      </c>
      <c r="E456" s="35">
        <f>E454</f>
        <v>6694.09</v>
      </c>
      <c r="F456" s="35">
        <f t="shared" ref="F456:P456" si="314">F454</f>
        <v>0</v>
      </c>
      <c r="G456" s="35">
        <f t="shared" si="314"/>
        <v>6694.09</v>
      </c>
      <c r="H456" s="35">
        <f t="shared" si="314"/>
        <v>0</v>
      </c>
      <c r="I456" s="35">
        <f t="shared" si="314"/>
        <v>0</v>
      </c>
      <c r="J456" s="35">
        <f t="shared" si="314"/>
        <v>0</v>
      </c>
      <c r="K456" s="35">
        <f t="shared" si="314"/>
        <v>0</v>
      </c>
      <c r="L456" s="35">
        <f t="shared" si="314"/>
        <v>0</v>
      </c>
      <c r="M456" s="35">
        <f t="shared" si="314"/>
        <v>0</v>
      </c>
      <c r="N456" s="35">
        <f t="shared" si="314"/>
        <v>6694.09</v>
      </c>
      <c r="O456" s="35">
        <f t="shared" si="314"/>
        <v>0</v>
      </c>
      <c r="P456" s="35">
        <f t="shared" si="314"/>
        <v>6694.09</v>
      </c>
    </row>
    <row r="457" spans="1:16" x14ac:dyDescent="0.25">
      <c r="E457" s="34"/>
      <c r="F457" s="34"/>
      <c r="G457" s="34">
        <f t="shared" si="270"/>
        <v>0</v>
      </c>
      <c r="H457" s="34"/>
      <c r="I457" s="34"/>
      <c r="J457" s="34">
        <f t="shared" si="271"/>
        <v>0</v>
      </c>
      <c r="K457" s="34"/>
      <c r="L457" s="34"/>
      <c r="M457" s="34">
        <f t="shared" si="272"/>
        <v>0</v>
      </c>
      <c r="N457" s="34">
        <f t="shared" si="273"/>
        <v>0</v>
      </c>
      <c r="O457" s="34">
        <f t="shared" si="274"/>
        <v>0</v>
      </c>
      <c r="P457" s="34"/>
    </row>
    <row r="458" spans="1:16" x14ac:dyDescent="0.25">
      <c r="A458" s="8" t="s">
        <v>256</v>
      </c>
      <c r="B458" s="4" t="str">
        <f>LEFT(A458,4)</f>
        <v>5381</v>
      </c>
      <c r="C458" s="102">
        <v>0</v>
      </c>
      <c r="D458" s="98">
        <v>0</v>
      </c>
      <c r="E458" s="34">
        <f>VLOOKUP($B458,Town_Sage!$A$5:$D$399,3,0)</f>
        <v>0</v>
      </c>
      <c r="F458" s="34">
        <f>VLOOKUP($B458,Town_Sage!$A$5:$D$399,4,0)</f>
        <v>0</v>
      </c>
      <c r="G458" s="34">
        <f t="shared" si="270"/>
        <v>0</v>
      </c>
      <c r="H458" s="34"/>
      <c r="I458" s="34"/>
      <c r="J458" s="34">
        <f t="shared" si="271"/>
        <v>0</v>
      </c>
      <c r="K458" s="34"/>
      <c r="L458" s="34"/>
      <c r="M458" s="34">
        <f t="shared" si="272"/>
        <v>0</v>
      </c>
      <c r="N458" s="34">
        <f t="shared" si="273"/>
        <v>0</v>
      </c>
      <c r="O458" s="34">
        <f t="shared" si="274"/>
        <v>0</v>
      </c>
      <c r="P458" s="34">
        <f t="shared" si="277"/>
        <v>0</v>
      </c>
    </row>
    <row r="459" spans="1:16" x14ac:dyDescent="0.25">
      <c r="A459" s="8" t="s">
        <v>5</v>
      </c>
      <c r="C459" s="103">
        <f t="shared" ref="C459:D459" si="315">C458</f>
        <v>0</v>
      </c>
      <c r="D459" s="99">
        <f t="shared" si="315"/>
        <v>0</v>
      </c>
      <c r="E459" s="35">
        <f>E458</f>
        <v>0</v>
      </c>
      <c r="F459" s="35">
        <f t="shared" ref="F459:P459" si="316">F458</f>
        <v>0</v>
      </c>
      <c r="G459" s="35">
        <f t="shared" si="316"/>
        <v>0</v>
      </c>
      <c r="H459" s="35">
        <f t="shared" si="316"/>
        <v>0</v>
      </c>
      <c r="I459" s="35">
        <f t="shared" si="316"/>
        <v>0</v>
      </c>
      <c r="J459" s="35">
        <f t="shared" si="316"/>
        <v>0</v>
      </c>
      <c r="K459" s="35">
        <f t="shared" si="316"/>
        <v>0</v>
      </c>
      <c r="L459" s="35">
        <f t="shared" si="316"/>
        <v>0</v>
      </c>
      <c r="M459" s="35">
        <f t="shared" si="316"/>
        <v>0</v>
      </c>
      <c r="N459" s="35">
        <f t="shared" si="316"/>
        <v>0</v>
      </c>
      <c r="O459" s="35">
        <f t="shared" si="316"/>
        <v>0</v>
      </c>
      <c r="P459" s="35">
        <f t="shared" si="316"/>
        <v>0</v>
      </c>
    </row>
    <row r="460" spans="1:16" x14ac:dyDescent="0.25">
      <c r="C460" s="104"/>
      <c r="D460" s="100"/>
      <c r="E460" s="34"/>
      <c r="F460" s="34"/>
      <c r="G460" s="34">
        <f t="shared" si="270"/>
        <v>0</v>
      </c>
      <c r="H460" s="34"/>
      <c r="I460" s="34"/>
      <c r="J460" s="34">
        <f t="shared" si="271"/>
        <v>0</v>
      </c>
      <c r="K460" s="34"/>
      <c r="L460" s="34"/>
      <c r="M460" s="34">
        <f t="shared" si="272"/>
        <v>0</v>
      </c>
      <c r="N460" s="34">
        <f t="shared" si="273"/>
        <v>0</v>
      </c>
      <c r="O460" s="34">
        <f t="shared" si="274"/>
        <v>0</v>
      </c>
      <c r="P460" s="34"/>
    </row>
    <row r="461" spans="1:16" x14ac:dyDescent="0.25">
      <c r="A461" s="9" t="s">
        <v>257</v>
      </c>
      <c r="B461" s="12" t="str">
        <f>LEFT(A461,5)</f>
        <v>40.42</v>
      </c>
      <c r="C461" s="103">
        <f t="shared" ref="C461:D461" si="317">C459</f>
        <v>0</v>
      </c>
      <c r="D461" s="99">
        <f t="shared" si="317"/>
        <v>0</v>
      </c>
      <c r="E461" s="35">
        <f>E459</f>
        <v>0</v>
      </c>
      <c r="F461" s="35">
        <f t="shared" ref="F461:P461" si="318">F459</f>
        <v>0</v>
      </c>
      <c r="G461" s="35">
        <f t="shared" si="318"/>
        <v>0</v>
      </c>
      <c r="H461" s="35">
        <f t="shared" si="318"/>
        <v>0</v>
      </c>
      <c r="I461" s="35">
        <f t="shared" si="318"/>
        <v>0</v>
      </c>
      <c r="J461" s="35">
        <f t="shared" si="318"/>
        <v>0</v>
      </c>
      <c r="K461" s="35">
        <f t="shared" si="318"/>
        <v>0</v>
      </c>
      <c r="L461" s="35">
        <f t="shared" si="318"/>
        <v>0</v>
      </c>
      <c r="M461" s="35">
        <f t="shared" si="318"/>
        <v>0</v>
      </c>
      <c r="N461" s="35">
        <f t="shared" si="318"/>
        <v>0</v>
      </c>
      <c r="O461" s="35">
        <f t="shared" si="318"/>
        <v>0</v>
      </c>
      <c r="P461" s="35">
        <f t="shared" si="318"/>
        <v>0</v>
      </c>
    </row>
    <row r="462" spans="1:16" x14ac:dyDescent="0.25">
      <c r="E462" s="34"/>
      <c r="F462" s="34"/>
      <c r="G462" s="34">
        <f t="shared" si="270"/>
        <v>0</v>
      </c>
      <c r="H462" s="34"/>
      <c r="I462" s="34"/>
      <c r="J462" s="34">
        <f t="shared" si="271"/>
        <v>0</v>
      </c>
      <c r="K462" s="34"/>
      <c r="L462" s="34"/>
      <c r="M462" s="34">
        <f t="shared" si="272"/>
        <v>0</v>
      </c>
      <c r="N462" s="34">
        <f t="shared" si="273"/>
        <v>0</v>
      </c>
      <c r="O462" s="34">
        <f t="shared" si="274"/>
        <v>0</v>
      </c>
      <c r="P462" s="34"/>
    </row>
    <row r="463" spans="1:16" x14ac:dyDescent="0.25">
      <c r="A463" s="8" t="s">
        <v>258</v>
      </c>
      <c r="B463" s="4" t="str">
        <f>LEFT(A463,4)</f>
        <v>5202</v>
      </c>
      <c r="C463" s="102">
        <v>2500</v>
      </c>
      <c r="D463" s="98">
        <v>0</v>
      </c>
      <c r="E463" s="34">
        <f>VLOOKUP($B463,Town_Sage!$A$5:$D$399,3,0)</f>
        <v>2143.94</v>
      </c>
      <c r="F463" s="34">
        <f>VLOOKUP($B463,Town_Sage!$A$5:$D$399,4,0)</f>
        <v>0</v>
      </c>
      <c r="G463" s="34">
        <f t="shared" si="270"/>
        <v>2143.94</v>
      </c>
      <c r="H463" s="34"/>
      <c r="I463" s="34"/>
      <c r="J463" s="34">
        <f t="shared" si="271"/>
        <v>0</v>
      </c>
      <c r="K463" s="34"/>
      <c r="L463" s="34"/>
      <c r="M463" s="34">
        <f t="shared" si="272"/>
        <v>0</v>
      </c>
      <c r="N463" s="34">
        <f t="shared" si="273"/>
        <v>2143.94</v>
      </c>
      <c r="O463" s="34">
        <f t="shared" si="274"/>
        <v>0</v>
      </c>
      <c r="P463" s="34">
        <f t="shared" si="277"/>
        <v>2143.94</v>
      </c>
    </row>
    <row r="464" spans="1:16" x14ac:dyDescent="0.25">
      <c r="A464" s="8" t="s">
        <v>259</v>
      </c>
      <c r="B464" s="4" t="str">
        <f>LEFT(A464,4)</f>
        <v>5253</v>
      </c>
      <c r="C464" s="102">
        <v>2000</v>
      </c>
      <c r="D464" s="98">
        <v>0</v>
      </c>
      <c r="E464" s="34">
        <f>VLOOKUP($B464,Town_Sage!$A$5:$D$399,3,0)</f>
        <v>1168.83</v>
      </c>
      <c r="F464" s="34">
        <f>VLOOKUP($B464,Town_Sage!$A$5:$D$399,4,0)</f>
        <v>0</v>
      </c>
      <c r="G464" s="34">
        <f t="shared" si="270"/>
        <v>1168.83</v>
      </c>
      <c r="H464" s="34"/>
      <c r="I464" s="34"/>
      <c r="J464" s="34">
        <f t="shared" si="271"/>
        <v>0</v>
      </c>
      <c r="K464" s="34"/>
      <c r="L464" s="34"/>
      <c r="M464" s="34">
        <f t="shared" si="272"/>
        <v>0</v>
      </c>
      <c r="N464" s="34">
        <f t="shared" si="273"/>
        <v>1168.83</v>
      </c>
      <c r="O464" s="34">
        <f t="shared" si="274"/>
        <v>0</v>
      </c>
      <c r="P464" s="34">
        <f t="shared" si="277"/>
        <v>1168.83</v>
      </c>
    </row>
    <row r="465" spans="1:21" x14ac:dyDescent="0.25">
      <c r="A465" s="8" t="s">
        <v>5</v>
      </c>
      <c r="C465" s="103">
        <f t="shared" ref="C465:D465" si="319">C463+C464</f>
        <v>4500</v>
      </c>
      <c r="D465" s="99">
        <f t="shared" si="319"/>
        <v>0</v>
      </c>
      <c r="E465" s="35">
        <f>E463+E464</f>
        <v>3312.77</v>
      </c>
      <c r="F465" s="35">
        <f t="shared" ref="F465:P465" si="320">F463+F464</f>
        <v>0</v>
      </c>
      <c r="G465" s="35">
        <f t="shared" si="320"/>
        <v>3312.77</v>
      </c>
      <c r="H465" s="35">
        <f t="shared" si="320"/>
        <v>0</v>
      </c>
      <c r="I465" s="35">
        <f t="shared" si="320"/>
        <v>0</v>
      </c>
      <c r="J465" s="35">
        <f t="shared" si="320"/>
        <v>0</v>
      </c>
      <c r="K465" s="35">
        <f t="shared" si="320"/>
        <v>0</v>
      </c>
      <c r="L465" s="35">
        <f t="shared" si="320"/>
        <v>0</v>
      </c>
      <c r="M465" s="35">
        <f t="shared" si="320"/>
        <v>0</v>
      </c>
      <c r="N465" s="35">
        <f t="shared" si="320"/>
        <v>3312.77</v>
      </c>
      <c r="O465" s="35">
        <f t="shared" si="320"/>
        <v>0</v>
      </c>
      <c r="P465" s="35">
        <f t="shared" si="320"/>
        <v>3312.77</v>
      </c>
    </row>
    <row r="466" spans="1:21" x14ac:dyDescent="0.25">
      <c r="C466" s="104"/>
      <c r="D466" s="100"/>
      <c r="E466" s="34"/>
      <c r="F466" s="34"/>
      <c r="G466" s="34">
        <f t="shared" si="270"/>
        <v>0</v>
      </c>
      <c r="H466" s="34"/>
      <c r="I466" s="34"/>
      <c r="J466" s="34">
        <f t="shared" si="271"/>
        <v>0</v>
      </c>
      <c r="K466" s="34"/>
      <c r="L466" s="34"/>
      <c r="M466" s="34">
        <f t="shared" si="272"/>
        <v>0</v>
      </c>
      <c r="N466" s="34">
        <f t="shared" si="273"/>
        <v>0</v>
      </c>
      <c r="O466" s="34">
        <f t="shared" si="274"/>
        <v>0</v>
      </c>
      <c r="P466" s="34"/>
    </row>
    <row r="467" spans="1:21" x14ac:dyDescent="0.25">
      <c r="A467" s="9" t="s">
        <v>260</v>
      </c>
      <c r="B467" s="12" t="str">
        <f>LEFT(A467,5)</f>
        <v>41. 9</v>
      </c>
      <c r="C467" s="103">
        <f t="shared" ref="C467:D467" si="321">C465</f>
        <v>4500</v>
      </c>
      <c r="D467" s="99">
        <f t="shared" si="321"/>
        <v>0</v>
      </c>
      <c r="E467" s="35">
        <f>E465</f>
        <v>3312.77</v>
      </c>
      <c r="F467" s="35">
        <f t="shared" ref="F467:P467" si="322">F465</f>
        <v>0</v>
      </c>
      <c r="G467" s="35">
        <f t="shared" si="322"/>
        <v>3312.77</v>
      </c>
      <c r="H467" s="35">
        <f t="shared" si="322"/>
        <v>0</v>
      </c>
      <c r="I467" s="35">
        <f t="shared" si="322"/>
        <v>0</v>
      </c>
      <c r="J467" s="35">
        <f t="shared" si="322"/>
        <v>0</v>
      </c>
      <c r="K467" s="35">
        <f t="shared" si="322"/>
        <v>0</v>
      </c>
      <c r="L467" s="35">
        <f t="shared" si="322"/>
        <v>0</v>
      </c>
      <c r="M467" s="35">
        <f t="shared" si="322"/>
        <v>0</v>
      </c>
      <c r="N467" s="35">
        <f t="shared" si="322"/>
        <v>3312.77</v>
      </c>
      <c r="O467" s="35">
        <f t="shared" si="322"/>
        <v>0</v>
      </c>
      <c r="P467" s="35">
        <f t="shared" si="322"/>
        <v>3312.77</v>
      </c>
    </row>
    <row r="468" spans="1:21" x14ac:dyDescent="0.25">
      <c r="E468" s="34"/>
      <c r="F468" s="34"/>
      <c r="G468" s="34">
        <f t="shared" ref="G468:G531" si="323">IF(E468&gt;0,E468,-F468)</f>
        <v>0</v>
      </c>
      <c r="H468" s="34"/>
      <c r="I468" s="34"/>
      <c r="J468" s="34">
        <f t="shared" ref="J468:J530" si="324">IF(H468&gt;0,H468,-I468)</f>
        <v>0</v>
      </c>
      <c r="K468" s="34"/>
      <c r="L468" s="34"/>
      <c r="M468" s="34">
        <f t="shared" ref="M468:M530" si="325">IF(K468&gt;0,K468,-L468)</f>
        <v>0</v>
      </c>
      <c r="N468" s="34">
        <f t="shared" ref="N468:N531" si="326">E468+H468+K468</f>
        <v>0</v>
      </c>
      <c r="O468" s="34">
        <f t="shared" ref="O468:O531" si="327">F468+I468+L468</f>
        <v>0</v>
      </c>
      <c r="P468" s="34"/>
    </row>
    <row r="469" spans="1:21" x14ac:dyDescent="0.25">
      <c r="A469" s="8" t="s">
        <v>261</v>
      </c>
      <c r="B469" s="4" t="str">
        <f>LEFT(A469,4)</f>
        <v>5206</v>
      </c>
      <c r="C469" s="102">
        <v>3150</v>
      </c>
      <c r="D469" s="98">
        <f>252</f>
        <v>252</v>
      </c>
      <c r="E469" s="34">
        <f>VLOOKUP($B469,Town_Sage!$A$5:$D$399,3,0)</f>
        <v>2775.13</v>
      </c>
      <c r="F469" s="34">
        <f>VLOOKUP($B469,Town_Sage!$A$5:$D$399,4,0)</f>
        <v>0</v>
      </c>
      <c r="G469" s="34">
        <f t="shared" si="323"/>
        <v>2775.13</v>
      </c>
      <c r="H469" s="34"/>
      <c r="I469" s="34"/>
      <c r="J469" s="34">
        <f t="shared" si="324"/>
        <v>0</v>
      </c>
      <c r="K469" s="34"/>
      <c r="L469" s="34"/>
      <c r="M469" s="34">
        <f t="shared" si="325"/>
        <v>0</v>
      </c>
      <c r="N469" s="34">
        <f t="shared" si="326"/>
        <v>2775.13</v>
      </c>
      <c r="O469" s="34">
        <f t="shared" si="327"/>
        <v>0</v>
      </c>
      <c r="P469" s="34">
        <f t="shared" ref="P469:P531" si="328">IF(N469&gt;0,N469,-O469)</f>
        <v>2775.13</v>
      </c>
      <c r="R469" s="4">
        <f>170*12</f>
        <v>2040</v>
      </c>
      <c r="S469" s="4">
        <f>81*12</f>
        <v>972</v>
      </c>
      <c r="T469" s="4">
        <f>SUM(R469:S469)</f>
        <v>3012</v>
      </c>
      <c r="U469" s="107">
        <v>0.05</v>
      </c>
    </row>
    <row r="470" spans="1:21" x14ac:dyDescent="0.25">
      <c r="A470" s="8" t="s">
        <v>262</v>
      </c>
      <c r="B470" s="4" t="str">
        <f>LEFT(A470,4)</f>
        <v>5209</v>
      </c>
      <c r="C470" s="102">
        <v>3240</v>
      </c>
      <c r="D470" s="98">
        <f>267+267</f>
        <v>534</v>
      </c>
      <c r="E470" s="34">
        <f>VLOOKUP($B470,Town_Sage!$A$5:$D$399,3,0)</f>
        <v>2576.33</v>
      </c>
      <c r="F470" s="34">
        <f>VLOOKUP($B470,Town_Sage!$A$5:$D$399,4,0)</f>
        <v>0</v>
      </c>
      <c r="G470" s="34">
        <f t="shared" si="323"/>
        <v>2576.33</v>
      </c>
      <c r="H470" s="34"/>
      <c r="I470" s="34"/>
      <c r="J470" s="34">
        <f t="shared" si="324"/>
        <v>0</v>
      </c>
      <c r="K470" s="34"/>
      <c r="L470" s="34"/>
      <c r="M470" s="34">
        <f t="shared" si="325"/>
        <v>0</v>
      </c>
      <c r="N470" s="34">
        <f t="shared" si="326"/>
        <v>2576.33</v>
      </c>
      <c r="O470" s="34">
        <f t="shared" si="327"/>
        <v>0</v>
      </c>
      <c r="P470" s="34">
        <f t="shared" si="328"/>
        <v>2576.33</v>
      </c>
      <c r="R470" s="4">
        <f>270*12</f>
        <v>3240</v>
      </c>
    </row>
    <row r="471" spans="1:21" x14ac:dyDescent="0.25">
      <c r="A471" s="8" t="s">
        <v>263</v>
      </c>
      <c r="B471" s="4" t="str">
        <f>LEFT(A471,4)</f>
        <v>5215</v>
      </c>
      <c r="C471" s="102">
        <v>0</v>
      </c>
      <c r="D471" s="98">
        <v>0</v>
      </c>
      <c r="E471" s="34">
        <f>VLOOKUP($B471,Town_Sage!$A$5:$D$399,3,0)</f>
        <v>0</v>
      </c>
      <c r="F471" s="34">
        <f>VLOOKUP($B471,Town_Sage!$A$5:$D$399,4,0)</f>
        <v>0</v>
      </c>
      <c r="G471" s="34">
        <f t="shared" si="323"/>
        <v>0</v>
      </c>
      <c r="H471" s="34"/>
      <c r="I471" s="34"/>
      <c r="J471" s="34">
        <f t="shared" si="324"/>
        <v>0</v>
      </c>
      <c r="K471" s="34"/>
      <c r="L471" s="34"/>
      <c r="M471" s="34">
        <f t="shared" si="325"/>
        <v>0</v>
      </c>
      <c r="N471" s="34">
        <f t="shared" si="326"/>
        <v>0</v>
      </c>
      <c r="O471" s="34">
        <f t="shared" si="327"/>
        <v>0</v>
      </c>
      <c r="P471" s="34">
        <f t="shared" si="328"/>
        <v>0</v>
      </c>
    </row>
    <row r="472" spans="1:21" x14ac:dyDescent="0.25">
      <c r="A472" s="8" t="s">
        <v>264</v>
      </c>
      <c r="B472" s="4" t="str">
        <f>LEFT(A472,4)</f>
        <v>5216</v>
      </c>
      <c r="C472" s="102">
        <v>2000</v>
      </c>
      <c r="D472" s="98">
        <v>520</v>
      </c>
      <c r="E472" s="34">
        <f>VLOOKUP($B472,Town_Sage!$A$5:$D$399,3,0)</f>
        <v>1452</v>
      </c>
      <c r="F472" s="34">
        <f>VLOOKUP($B472,Town_Sage!$A$5:$D$399,4,0)</f>
        <v>0</v>
      </c>
      <c r="G472" s="34">
        <f t="shared" si="323"/>
        <v>1452</v>
      </c>
      <c r="H472" s="34"/>
      <c r="I472" s="34"/>
      <c r="J472" s="34">
        <f t="shared" si="324"/>
        <v>0</v>
      </c>
      <c r="K472" s="34"/>
      <c r="L472" s="34"/>
      <c r="M472" s="34">
        <f t="shared" si="325"/>
        <v>0</v>
      </c>
      <c r="N472" s="34">
        <f t="shared" si="326"/>
        <v>1452</v>
      </c>
      <c r="O472" s="34">
        <f t="shared" si="327"/>
        <v>0</v>
      </c>
      <c r="P472" s="34">
        <f t="shared" si="328"/>
        <v>1452</v>
      </c>
    </row>
    <row r="473" spans="1:21" x14ac:dyDescent="0.25">
      <c r="A473" s="8" t="s">
        <v>5</v>
      </c>
      <c r="C473" s="103">
        <f t="shared" ref="C473:D473" si="329">SUM(C469:C472)</f>
        <v>8390</v>
      </c>
      <c r="D473" s="99">
        <f t="shared" si="329"/>
        <v>1306</v>
      </c>
      <c r="E473" s="35">
        <f>SUM(E469:E472)</f>
        <v>6803.46</v>
      </c>
      <c r="F473" s="35">
        <f t="shared" ref="F473:P473" si="330">SUM(F469:F472)</f>
        <v>0</v>
      </c>
      <c r="G473" s="35">
        <f t="shared" si="330"/>
        <v>6803.46</v>
      </c>
      <c r="H473" s="35">
        <f t="shared" si="330"/>
        <v>0</v>
      </c>
      <c r="I473" s="35">
        <f t="shared" si="330"/>
        <v>0</v>
      </c>
      <c r="J473" s="35">
        <f t="shared" si="330"/>
        <v>0</v>
      </c>
      <c r="K473" s="35">
        <f t="shared" si="330"/>
        <v>0</v>
      </c>
      <c r="L473" s="35">
        <f t="shared" si="330"/>
        <v>0</v>
      </c>
      <c r="M473" s="35">
        <f t="shared" si="330"/>
        <v>0</v>
      </c>
      <c r="N473" s="35">
        <f t="shared" si="330"/>
        <v>6803.46</v>
      </c>
      <c r="O473" s="35">
        <f t="shared" si="330"/>
        <v>0</v>
      </c>
      <c r="P473" s="35">
        <f t="shared" si="330"/>
        <v>6803.46</v>
      </c>
    </row>
    <row r="474" spans="1:21" x14ac:dyDescent="0.25">
      <c r="C474" s="104"/>
      <c r="D474" s="100"/>
      <c r="E474" s="34"/>
      <c r="F474" s="34"/>
      <c r="G474" s="34">
        <f t="shared" si="323"/>
        <v>0</v>
      </c>
      <c r="H474" s="34"/>
      <c r="I474" s="34"/>
      <c r="J474" s="34">
        <f t="shared" si="324"/>
        <v>0</v>
      </c>
      <c r="K474" s="34"/>
      <c r="L474" s="34"/>
      <c r="M474" s="34">
        <f t="shared" si="325"/>
        <v>0</v>
      </c>
      <c r="N474" s="34">
        <f t="shared" si="326"/>
        <v>0</v>
      </c>
      <c r="O474" s="34">
        <f t="shared" si="327"/>
        <v>0</v>
      </c>
      <c r="P474" s="34"/>
    </row>
    <row r="475" spans="1:21" x14ac:dyDescent="0.25">
      <c r="A475" s="9" t="s">
        <v>265</v>
      </c>
      <c r="B475" s="12" t="str">
        <f>LEFT(A475,5)</f>
        <v>41.11</v>
      </c>
      <c r="C475" s="103">
        <f t="shared" ref="C475:D475" si="331">C473</f>
        <v>8390</v>
      </c>
      <c r="D475" s="99">
        <f t="shared" si="331"/>
        <v>1306</v>
      </c>
      <c r="E475" s="35">
        <f>E473</f>
        <v>6803.46</v>
      </c>
      <c r="F475" s="35">
        <f t="shared" ref="F475:P475" si="332">F473</f>
        <v>0</v>
      </c>
      <c r="G475" s="35">
        <f t="shared" si="332"/>
        <v>6803.46</v>
      </c>
      <c r="H475" s="35">
        <f t="shared" si="332"/>
        <v>0</v>
      </c>
      <c r="I475" s="35">
        <f t="shared" si="332"/>
        <v>0</v>
      </c>
      <c r="J475" s="35">
        <f t="shared" si="332"/>
        <v>0</v>
      </c>
      <c r="K475" s="35">
        <f t="shared" si="332"/>
        <v>0</v>
      </c>
      <c r="L475" s="35">
        <f t="shared" si="332"/>
        <v>0</v>
      </c>
      <c r="M475" s="35">
        <f t="shared" si="332"/>
        <v>0</v>
      </c>
      <c r="N475" s="35">
        <f t="shared" si="332"/>
        <v>6803.46</v>
      </c>
      <c r="O475" s="35">
        <f t="shared" si="332"/>
        <v>0</v>
      </c>
      <c r="P475" s="35">
        <f t="shared" si="332"/>
        <v>6803.46</v>
      </c>
    </row>
    <row r="476" spans="1:21" x14ac:dyDescent="0.25">
      <c r="E476" s="34"/>
      <c r="F476" s="34"/>
      <c r="G476" s="34">
        <f t="shared" si="323"/>
        <v>0</v>
      </c>
      <c r="H476" s="34"/>
      <c r="I476" s="34"/>
      <c r="J476" s="34">
        <f t="shared" si="324"/>
        <v>0</v>
      </c>
      <c r="K476" s="34"/>
      <c r="L476" s="34"/>
      <c r="M476" s="34">
        <f t="shared" si="325"/>
        <v>0</v>
      </c>
      <c r="N476" s="34">
        <f t="shared" si="326"/>
        <v>0</v>
      </c>
      <c r="O476" s="34">
        <f t="shared" si="327"/>
        <v>0</v>
      </c>
      <c r="P476" s="34"/>
    </row>
    <row r="477" spans="1:21" x14ac:dyDescent="0.25">
      <c r="A477" s="8" t="s">
        <v>266</v>
      </c>
      <c r="B477" s="4" t="str">
        <f>LEFT(A477,4)</f>
        <v>5233</v>
      </c>
      <c r="C477" s="102">
        <v>2500</v>
      </c>
      <c r="D477" s="98">
        <v>300</v>
      </c>
      <c r="E477" s="34">
        <f>VLOOKUP($B477,Town_Sage!$A$5:$D$399,3,0)</f>
        <v>1374.33</v>
      </c>
      <c r="F477" s="34">
        <f>VLOOKUP($B477,Town_Sage!$A$5:$D$399,4,0)</f>
        <v>0</v>
      </c>
      <c r="G477" s="34">
        <f t="shared" si="323"/>
        <v>1374.33</v>
      </c>
      <c r="H477" s="34"/>
      <c r="I477" s="34"/>
      <c r="J477" s="34">
        <f t="shared" si="324"/>
        <v>0</v>
      </c>
      <c r="K477" s="34"/>
      <c r="L477" s="34"/>
      <c r="M477" s="34">
        <f t="shared" si="325"/>
        <v>0</v>
      </c>
      <c r="N477" s="34">
        <f t="shared" si="326"/>
        <v>1374.33</v>
      </c>
      <c r="O477" s="34">
        <f t="shared" si="327"/>
        <v>0</v>
      </c>
      <c r="P477" s="34">
        <f t="shared" si="328"/>
        <v>1374.33</v>
      </c>
    </row>
    <row r="478" spans="1:21" x14ac:dyDescent="0.25">
      <c r="A478" s="8" t="s">
        <v>267</v>
      </c>
      <c r="B478" s="4" t="str">
        <f>LEFT(A478,4)</f>
        <v>5236</v>
      </c>
      <c r="C478" s="102">
        <v>2000</v>
      </c>
      <c r="D478" s="98">
        <v>0</v>
      </c>
      <c r="E478" s="34">
        <f>VLOOKUP($B478,Town_Sage!$A$5:$D$399,3,0)</f>
        <v>471</v>
      </c>
      <c r="F478" s="34">
        <f>VLOOKUP($B478,Town_Sage!$A$5:$D$399,4,0)</f>
        <v>0</v>
      </c>
      <c r="G478" s="34">
        <f t="shared" si="323"/>
        <v>471</v>
      </c>
      <c r="H478" s="34"/>
      <c r="I478" s="34"/>
      <c r="J478" s="34">
        <f t="shared" si="324"/>
        <v>0</v>
      </c>
      <c r="K478" s="34"/>
      <c r="L478" s="34"/>
      <c r="M478" s="34">
        <f t="shared" si="325"/>
        <v>0</v>
      </c>
      <c r="N478" s="34">
        <f t="shared" si="326"/>
        <v>471</v>
      </c>
      <c r="O478" s="34">
        <f t="shared" si="327"/>
        <v>0</v>
      </c>
      <c r="P478" s="34">
        <f t="shared" si="328"/>
        <v>471</v>
      </c>
    </row>
    <row r="479" spans="1:21" x14ac:dyDescent="0.25">
      <c r="A479" s="8" t="s">
        <v>268</v>
      </c>
      <c r="B479" s="4" t="str">
        <f>LEFT(A479,4)</f>
        <v>5239</v>
      </c>
      <c r="C479" s="102">
        <v>2000</v>
      </c>
      <c r="D479" s="98">
        <v>0</v>
      </c>
      <c r="E479" s="34">
        <f>VLOOKUP($B479,Town_Sage!$A$5:$D$399,3,0)</f>
        <v>3305.02</v>
      </c>
      <c r="F479" s="34">
        <f>VLOOKUP($B479,Town_Sage!$A$5:$D$399,4,0)</f>
        <v>0</v>
      </c>
      <c r="G479" s="34">
        <f t="shared" si="323"/>
        <v>3305.02</v>
      </c>
      <c r="H479" s="34"/>
      <c r="I479" s="34"/>
      <c r="J479" s="34">
        <f t="shared" si="324"/>
        <v>0</v>
      </c>
      <c r="K479" s="34"/>
      <c r="L479" s="34"/>
      <c r="M479" s="34">
        <f t="shared" si="325"/>
        <v>0</v>
      </c>
      <c r="N479" s="34">
        <f t="shared" si="326"/>
        <v>3305.02</v>
      </c>
      <c r="O479" s="34">
        <f t="shared" si="327"/>
        <v>0</v>
      </c>
      <c r="P479" s="34">
        <f t="shared" si="328"/>
        <v>3305.02</v>
      </c>
    </row>
    <row r="480" spans="1:21" x14ac:dyDescent="0.25">
      <c r="A480" s="8" t="s">
        <v>269</v>
      </c>
      <c r="B480" s="4" t="str">
        <f>LEFT(A480,4)</f>
        <v>5271</v>
      </c>
      <c r="E480" s="34">
        <f>VLOOKUP($B480,Town_Sage!$A$5:$D$399,3,0)</f>
        <v>0</v>
      </c>
      <c r="F480" s="34">
        <f>VLOOKUP($B480,Town_Sage!$A$5:$D$399,4,0)</f>
        <v>0</v>
      </c>
      <c r="G480" s="34">
        <f t="shared" si="323"/>
        <v>0</v>
      </c>
      <c r="H480" s="34"/>
      <c r="I480" s="34"/>
      <c r="J480" s="34">
        <f t="shared" si="324"/>
        <v>0</v>
      </c>
      <c r="K480" s="34"/>
      <c r="L480" s="34"/>
      <c r="M480" s="34">
        <f t="shared" si="325"/>
        <v>0</v>
      </c>
      <c r="N480" s="34">
        <f t="shared" si="326"/>
        <v>0</v>
      </c>
      <c r="O480" s="34">
        <f t="shared" si="327"/>
        <v>0</v>
      </c>
      <c r="P480" s="34"/>
    </row>
    <row r="481" spans="1:20" x14ac:dyDescent="0.25">
      <c r="A481" s="8" t="s">
        <v>5</v>
      </c>
      <c r="C481" s="103">
        <f t="shared" ref="C481:D481" si="333">SUM(C477:C480)</f>
        <v>6500</v>
      </c>
      <c r="D481" s="99">
        <f t="shared" si="333"/>
        <v>300</v>
      </c>
      <c r="E481" s="35">
        <f>SUM(E477:E480)</f>
        <v>5150.3500000000004</v>
      </c>
      <c r="F481" s="35">
        <f t="shared" ref="F481:P481" si="334">SUM(F477:F480)</f>
        <v>0</v>
      </c>
      <c r="G481" s="35">
        <f t="shared" si="334"/>
        <v>5150.3500000000004</v>
      </c>
      <c r="H481" s="35">
        <f t="shared" si="334"/>
        <v>0</v>
      </c>
      <c r="I481" s="35">
        <f t="shared" si="334"/>
        <v>0</v>
      </c>
      <c r="J481" s="35">
        <f t="shared" si="334"/>
        <v>0</v>
      </c>
      <c r="K481" s="35">
        <f t="shared" si="334"/>
        <v>0</v>
      </c>
      <c r="L481" s="35">
        <f t="shared" si="334"/>
        <v>0</v>
      </c>
      <c r="M481" s="35">
        <f t="shared" si="334"/>
        <v>0</v>
      </c>
      <c r="N481" s="35">
        <f t="shared" si="334"/>
        <v>5150.3500000000004</v>
      </c>
      <c r="O481" s="35">
        <f t="shared" si="334"/>
        <v>0</v>
      </c>
      <c r="P481" s="35">
        <f t="shared" si="334"/>
        <v>5150.3500000000004</v>
      </c>
    </row>
    <row r="482" spans="1:20" x14ac:dyDescent="0.25">
      <c r="C482" s="104"/>
      <c r="D482" s="100"/>
      <c r="E482" s="34"/>
      <c r="F482" s="34"/>
      <c r="G482" s="34">
        <f t="shared" si="323"/>
        <v>0</v>
      </c>
      <c r="H482" s="34"/>
      <c r="I482" s="34"/>
      <c r="J482" s="34">
        <f t="shared" si="324"/>
        <v>0</v>
      </c>
      <c r="K482" s="34"/>
      <c r="L482" s="34"/>
      <c r="M482" s="34">
        <f t="shared" si="325"/>
        <v>0</v>
      </c>
      <c r="N482" s="34">
        <f t="shared" si="326"/>
        <v>0</v>
      </c>
      <c r="O482" s="34">
        <f t="shared" si="327"/>
        <v>0</v>
      </c>
      <c r="P482" s="34"/>
    </row>
    <row r="483" spans="1:20" x14ac:dyDescent="0.25">
      <c r="A483" s="9" t="s">
        <v>270</v>
      </c>
      <c r="B483" s="12" t="str">
        <f>LEFT(A483,5)</f>
        <v>41.13</v>
      </c>
      <c r="C483" s="103">
        <f t="shared" ref="C483:D483" si="335">C481</f>
        <v>6500</v>
      </c>
      <c r="D483" s="99">
        <f t="shared" si="335"/>
        <v>300</v>
      </c>
      <c r="E483" s="35">
        <f>E481</f>
        <v>5150.3500000000004</v>
      </c>
      <c r="F483" s="35">
        <f t="shared" ref="F483:P483" si="336">F481</f>
        <v>0</v>
      </c>
      <c r="G483" s="35">
        <f t="shared" si="336"/>
        <v>5150.3500000000004</v>
      </c>
      <c r="H483" s="35">
        <f t="shared" si="336"/>
        <v>0</v>
      </c>
      <c r="I483" s="35">
        <f t="shared" si="336"/>
        <v>0</v>
      </c>
      <c r="J483" s="35">
        <f t="shared" si="336"/>
        <v>0</v>
      </c>
      <c r="K483" s="35">
        <f t="shared" si="336"/>
        <v>0</v>
      </c>
      <c r="L483" s="35">
        <f t="shared" si="336"/>
        <v>0</v>
      </c>
      <c r="M483" s="35">
        <f t="shared" si="336"/>
        <v>0</v>
      </c>
      <c r="N483" s="35">
        <f t="shared" si="336"/>
        <v>5150.3500000000004</v>
      </c>
      <c r="O483" s="35">
        <f t="shared" si="336"/>
        <v>0</v>
      </c>
      <c r="P483" s="35">
        <f t="shared" si="336"/>
        <v>5150.3500000000004</v>
      </c>
    </row>
    <row r="484" spans="1:20" x14ac:dyDescent="0.25">
      <c r="E484" s="34"/>
      <c r="F484" s="34"/>
      <c r="G484" s="34">
        <f t="shared" si="323"/>
        <v>0</v>
      </c>
      <c r="H484" s="34"/>
      <c r="I484" s="34"/>
      <c r="J484" s="34">
        <f t="shared" si="324"/>
        <v>0</v>
      </c>
      <c r="K484" s="34"/>
      <c r="L484" s="34"/>
      <c r="M484" s="34">
        <f t="shared" si="325"/>
        <v>0</v>
      </c>
      <c r="N484" s="34">
        <f t="shared" si="326"/>
        <v>0</v>
      </c>
      <c r="O484" s="34">
        <f t="shared" si="327"/>
        <v>0</v>
      </c>
      <c r="P484" s="34"/>
    </row>
    <row r="485" spans="1:20" x14ac:dyDescent="0.25">
      <c r="A485" s="8" t="s">
        <v>271</v>
      </c>
      <c r="B485" s="4" t="str">
        <f>LEFT(A485,4)</f>
        <v>5224</v>
      </c>
      <c r="C485" s="102">
        <f>5328+3980</f>
        <v>9308</v>
      </c>
      <c r="D485" s="98">
        <v>600</v>
      </c>
      <c r="E485" s="34">
        <f>VLOOKUP($B485,Town_Sage!$A$5:$D$399,3,0)</f>
        <v>6544.5</v>
      </c>
      <c r="F485" s="34">
        <f>VLOOKUP($B485,Town_Sage!$A$5:$D$399,4,0)</f>
        <v>0</v>
      </c>
      <c r="G485" s="34">
        <f t="shared" si="323"/>
        <v>6544.5</v>
      </c>
      <c r="H485" s="34"/>
      <c r="I485" s="34"/>
      <c r="J485" s="34">
        <f t="shared" si="324"/>
        <v>0</v>
      </c>
      <c r="K485" s="34"/>
      <c r="L485" s="34"/>
      <c r="M485" s="34">
        <f t="shared" si="325"/>
        <v>0</v>
      </c>
      <c r="N485" s="34">
        <f t="shared" si="326"/>
        <v>6544.5</v>
      </c>
      <c r="O485" s="34">
        <f t="shared" si="327"/>
        <v>0</v>
      </c>
      <c r="P485" s="34">
        <f t="shared" si="328"/>
        <v>6544.5</v>
      </c>
      <c r="R485" s="4" t="s">
        <v>2136</v>
      </c>
    </row>
    <row r="486" spans="1:20" x14ac:dyDescent="0.25">
      <c r="A486" s="8" t="s">
        <v>5</v>
      </c>
      <c r="C486" s="103">
        <f t="shared" ref="C486:D486" si="337">C485</f>
        <v>9308</v>
      </c>
      <c r="D486" s="99">
        <f t="shared" si="337"/>
        <v>600</v>
      </c>
      <c r="E486" s="35">
        <f>E485</f>
        <v>6544.5</v>
      </c>
      <c r="F486" s="35">
        <f t="shared" ref="F486:P486" si="338">F485</f>
        <v>0</v>
      </c>
      <c r="G486" s="35">
        <f t="shared" si="338"/>
        <v>6544.5</v>
      </c>
      <c r="H486" s="35">
        <f t="shared" si="338"/>
        <v>0</v>
      </c>
      <c r="I486" s="35">
        <f t="shared" si="338"/>
        <v>0</v>
      </c>
      <c r="J486" s="35">
        <f t="shared" si="338"/>
        <v>0</v>
      </c>
      <c r="K486" s="35">
        <f t="shared" si="338"/>
        <v>0</v>
      </c>
      <c r="L486" s="35">
        <f t="shared" si="338"/>
        <v>0</v>
      </c>
      <c r="M486" s="35">
        <f t="shared" si="338"/>
        <v>0</v>
      </c>
      <c r="N486" s="35">
        <f t="shared" si="338"/>
        <v>6544.5</v>
      </c>
      <c r="O486" s="35">
        <f t="shared" si="338"/>
        <v>0</v>
      </c>
      <c r="P486" s="35">
        <f t="shared" si="338"/>
        <v>6544.5</v>
      </c>
    </row>
    <row r="487" spans="1:20" x14ac:dyDescent="0.25">
      <c r="C487" s="104"/>
      <c r="D487" s="100"/>
      <c r="E487" s="34"/>
      <c r="F487" s="34"/>
      <c r="G487" s="34">
        <f t="shared" si="323"/>
        <v>0</v>
      </c>
      <c r="H487" s="34"/>
      <c r="I487" s="34"/>
      <c r="J487" s="34">
        <f t="shared" si="324"/>
        <v>0</v>
      </c>
      <c r="K487" s="34"/>
      <c r="L487" s="34"/>
      <c r="M487" s="34">
        <f t="shared" si="325"/>
        <v>0</v>
      </c>
      <c r="N487" s="34">
        <f t="shared" si="326"/>
        <v>0</v>
      </c>
      <c r="O487" s="34">
        <f t="shared" si="327"/>
        <v>0</v>
      </c>
      <c r="P487" s="34"/>
    </row>
    <row r="488" spans="1:20" x14ac:dyDescent="0.25">
      <c r="A488" s="9" t="s">
        <v>272</v>
      </c>
      <c r="B488" s="12" t="str">
        <f>LEFT(A488,5)</f>
        <v>41.14</v>
      </c>
      <c r="C488" s="103">
        <f t="shared" ref="C488:D488" si="339">C486</f>
        <v>9308</v>
      </c>
      <c r="D488" s="99">
        <f t="shared" si="339"/>
        <v>600</v>
      </c>
      <c r="E488" s="35">
        <f>E486</f>
        <v>6544.5</v>
      </c>
      <c r="F488" s="35">
        <f t="shared" ref="F488:P488" si="340">F486</f>
        <v>0</v>
      </c>
      <c r="G488" s="35">
        <f t="shared" si="340"/>
        <v>6544.5</v>
      </c>
      <c r="H488" s="35">
        <f t="shared" si="340"/>
        <v>0</v>
      </c>
      <c r="I488" s="35">
        <f t="shared" si="340"/>
        <v>0</v>
      </c>
      <c r="J488" s="35">
        <f t="shared" si="340"/>
        <v>0</v>
      </c>
      <c r="K488" s="35">
        <f t="shared" si="340"/>
        <v>0</v>
      </c>
      <c r="L488" s="35">
        <f t="shared" si="340"/>
        <v>0</v>
      </c>
      <c r="M488" s="35">
        <f t="shared" si="340"/>
        <v>0</v>
      </c>
      <c r="N488" s="35">
        <f t="shared" si="340"/>
        <v>6544.5</v>
      </c>
      <c r="O488" s="35">
        <f t="shared" si="340"/>
        <v>0</v>
      </c>
      <c r="P488" s="35">
        <f t="shared" si="340"/>
        <v>6544.5</v>
      </c>
    </row>
    <row r="489" spans="1:20" x14ac:dyDescent="0.25">
      <c r="E489" s="34"/>
      <c r="F489" s="34"/>
      <c r="G489" s="34">
        <f t="shared" si="323"/>
        <v>0</v>
      </c>
      <c r="H489" s="34"/>
      <c r="I489" s="34"/>
      <c r="J489" s="34">
        <f t="shared" si="324"/>
        <v>0</v>
      </c>
      <c r="K489" s="34"/>
      <c r="L489" s="34"/>
      <c r="M489" s="34">
        <f t="shared" si="325"/>
        <v>0</v>
      </c>
      <c r="N489" s="34">
        <f t="shared" si="326"/>
        <v>0</v>
      </c>
      <c r="O489" s="34">
        <f t="shared" si="327"/>
        <v>0</v>
      </c>
      <c r="P489" s="34"/>
    </row>
    <row r="490" spans="1:20" x14ac:dyDescent="0.25">
      <c r="A490" s="8" t="s">
        <v>273</v>
      </c>
      <c r="B490" s="4" t="str">
        <f>LEFT(A490,4)</f>
        <v>5256</v>
      </c>
      <c r="C490" s="102">
        <f>3245+1000</f>
        <v>4245</v>
      </c>
      <c r="D490" s="98">
        <f>875+1000</f>
        <v>1875</v>
      </c>
      <c r="E490" s="34">
        <f>VLOOKUP($B490,Town_Sage!$A$5:$D$399,3,0)</f>
        <v>1829.25</v>
      </c>
      <c r="F490" s="34">
        <f>VLOOKUP($B490,Town_Sage!$A$5:$D$399,4,0)</f>
        <v>0</v>
      </c>
      <c r="G490" s="34">
        <f t="shared" si="323"/>
        <v>1829.25</v>
      </c>
      <c r="H490" s="34"/>
      <c r="I490" s="34"/>
      <c r="J490" s="34">
        <f t="shared" si="324"/>
        <v>0</v>
      </c>
      <c r="K490" s="34"/>
      <c r="L490" s="34"/>
      <c r="M490" s="34">
        <f t="shared" si="325"/>
        <v>0</v>
      </c>
      <c r="N490" s="34">
        <f t="shared" si="326"/>
        <v>1829.25</v>
      </c>
      <c r="O490" s="34">
        <f t="shared" si="327"/>
        <v>0</v>
      </c>
      <c r="P490" s="34">
        <f t="shared" si="328"/>
        <v>1829.25</v>
      </c>
      <c r="R490" s="4">
        <v>2704</v>
      </c>
      <c r="S490" s="98">
        <f>R490-P490</f>
        <v>874.75</v>
      </c>
      <c r="T490" s="4" t="s">
        <v>2155</v>
      </c>
    </row>
    <row r="491" spans="1:20" x14ac:dyDescent="0.25">
      <c r="A491" s="8" t="s">
        <v>274</v>
      </c>
      <c r="B491" s="4" t="str">
        <f>LEFT(A491,4)</f>
        <v>5259</v>
      </c>
      <c r="C491" s="102">
        <v>202</v>
      </c>
      <c r="D491" s="98">
        <v>78</v>
      </c>
      <c r="E491" s="34">
        <f>VLOOKUP($B491,Town_Sage!$A$5:$D$399,3,0)</f>
        <v>91.5</v>
      </c>
      <c r="F491" s="34">
        <f>VLOOKUP($B491,Town_Sage!$A$5:$D$399,4,0)</f>
        <v>0</v>
      </c>
      <c r="G491" s="34">
        <f t="shared" si="323"/>
        <v>91.5</v>
      </c>
      <c r="H491" s="34"/>
      <c r="I491" s="34"/>
      <c r="J491" s="34">
        <f t="shared" si="324"/>
        <v>0</v>
      </c>
      <c r="K491" s="34"/>
      <c r="L491" s="34"/>
      <c r="M491" s="34">
        <f t="shared" si="325"/>
        <v>0</v>
      </c>
      <c r="N491" s="34">
        <f t="shared" si="326"/>
        <v>91.5</v>
      </c>
      <c r="O491" s="34">
        <f t="shared" si="327"/>
        <v>0</v>
      </c>
      <c r="P491" s="34">
        <f t="shared" si="328"/>
        <v>91.5</v>
      </c>
      <c r="R491" s="4">
        <v>169</v>
      </c>
      <c r="S491" s="142">
        <f>R491-P491</f>
        <v>77.5</v>
      </c>
    </row>
    <row r="492" spans="1:20" x14ac:dyDescent="0.25">
      <c r="A492" s="8" t="s">
        <v>275</v>
      </c>
      <c r="B492" s="4" t="str">
        <f>LEFT(A492,4)</f>
        <v>5262</v>
      </c>
      <c r="C492" s="102">
        <f>6735+1500</f>
        <v>8235</v>
      </c>
      <c r="D492" s="98">
        <v>1357</v>
      </c>
      <c r="E492" s="34">
        <f>VLOOKUP($B492,Town_Sage!$A$5:$D$399,3,0)</f>
        <v>4254.75</v>
      </c>
      <c r="F492" s="34">
        <f>VLOOKUP($B492,Town_Sage!$A$5:$D$399,4,0)</f>
        <v>0</v>
      </c>
      <c r="G492" s="34">
        <f t="shared" si="323"/>
        <v>4254.75</v>
      </c>
      <c r="H492" s="34"/>
      <c r="I492" s="34"/>
      <c r="J492" s="34">
        <f t="shared" si="324"/>
        <v>0</v>
      </c>
      <c r="K492" s="34"/>
      <c r="L492" s="34"/>
      <c r="M492" s="34">
        <f t="shared" si="325"/>
        <v>0</v>
      </c>
      <c r="N492" s="34">
        <f t="shared" si="326"/>
        <v>4254.75</v>
      </c>
      <c r="O492" s="34">
        <f t="shared" si="327"/>
        <v>0</v>
      </c>
      <c r="P492" s="34">
        <f t="shared" si="328"/>
        <v>4254.75</v>
      </c>
      <c r="R492" s="4">
        <v>5612</v>
      </c>
      <c r="S492" s="98">
        <f>R492-P492</f>
        <v>1357.25</v>
      </c>
      <c r="T492" s="4" t="s">
        <v>2135</v>
      </c>
    </row>
    <row r="493" spans="1:20" x14ac:dyDescent="0.25">
      <c r="A493" s="8" t="s">
        <v>5</v>
      </c>
      <c r="C493" s="103">
        <f t="shared" ref="C493:D493" si="341">SUM(C490:C492)</f>
        <v>12682</v>
      </c>
      <c r="D493" s="99">
        <f t="shared" si="341"/>
        <v>3310</v>
      </c>
      <c r="E493" s="35">
        <f>SUM(E490:E492)</f>
        <v>6175.5</v>
      </c>
      <c r="F493" s="35">
        <f t="shared" ref="F493:P493" si="342">SUM(F490:F492)</f>
        <v>0</v>
      </c>
      <c r="G493" s="35">
        <f t="shared" si="342"/>
        <v>6175.5</v>
      </c>
      <c r="H493" s="35">
        <f t="shared" si="342"/>
        <v>0</v>
      </c>
      <c r="I493" s="35">
        <f t="shared" si="342"/>
        <v>0</v>
      </c>
      <c r="J493" s="35">
        <f t="shared" si="342"/>
        <v>0</v>
      </c>
      <c r="K493" s="35">
        <f t="shared" si="342"/>
        <v>0</v>
      </c>
      <c r="L493" s="35">
        <f t="shared" si="342"/>
        <v>0</v>
      </c>
      <c r="M493" s="35">
        <f t="shared" si="342"/>
        <v>0</v>
      </c>
      <c r="N493" s="35">
        <f t="shared" si="342"/>
        <v>6175.5</v>
      </c>
      <c r="O493" s="35">
        <f t="shared" si="342"/>
        <v>0</v>
      </c>
      <c r="P493" s="35">
        <f t="shared" si="342"/>
        <v>6175.5</v>
      </c>
    </row>
    <row r="494" spans="1:20" x14ac:dyDescent="0.25">
      <c r="C494" s="104"/>
      <c r="D494" s="100"/>
      <c r="E494" s="34"/>
      <c r="F494" s="34"/>
      <c r="G494" s="34">
        <f t="shared" si="323"/>
        <v>0</v>
      </c>
      <c r="H494" s="34"/>
      <c r="I494" s="34"/>
      <c r="J494" s="34">
        <f t="shared" si="324"/>
        <v>0</v>
      </c>
      <c r="K494" s="34"/>
      <c r="L494" s="34"/>
      <c r="M494" s="34">
        <f t="shared" si="325"/>
        <v>0</v>
      </c>
      <c r="N494" s="34">
        <f t="shared" si="326"/>
        <v>0</v>
      </c>
      <c r="O494" s="34">
        <f t="shared" si="327"/>
        <v>0</v>
      </c>
      <c r="P494" s="34"/>
    </row>
    <row r="495" spans="1:20" x14ac:dyDescent="0.25">
      <c r="A495" s="9" t="s">
        <v>276</v>
      </c>
      <c r="B495" s="12" t="str">
        <f>LEFT(A495,5)</f>
        <v>41.15</v>
      </c>
      <c r="C495" s="103">
        <f t="shared" ref="C495:D495" si="343">C493</f>
        <v>12682</v>
      </c>
      <c r="D495" s="99">
        <f t="shared" si="343"/>
        <v>3310</v>
      </c>
      <c r="E495" s="35">
        <f>E493</f>
        <v>6175.5</v>
      </c>
      <c r="F495" s="35">
        <f t="shared" ref="F495:P495" si="344">F493</f>
        <v>0</v>
      </c>
      <c r="G495" s="35">
        <f t="shared" si="344"/>
        <v>6175.5</v>
      </c>
      <c r="H495" s="35">
        <f t="shared" si="344"/>
        <v>0</v>
      </c>
      <c r="I495" s="35">
        <f t="shared" si="344"/>
        <v>0</v>
      </c>
      <c r="J495" s="35">
        <f t="shared" si="344"/>
        <v>0</v>
      </c>
      <c r="K495" s="35">
        <f t="shared" si="344"/>
        <v>0</v>
      </c>
      <c r="L495" s="35">
        <f t="shared" si="344"/>
        <v>0</v>
      </c>
      <c r="M495" s="35">
        <f t="shared" si="344"/>
        <v>0</v>
      </c>
      <c r="N495" s="35">
        <f t="shared" si="344"/>
        <v>6175.5</v>
      </c>
      <c r="O495" s="35">
        <f t="shared" si="344"/>
        <v>0</v>
      </c>
      <c r="P495" s="35">
        <f t="shared" si="344"/>
        <v>6175.5</v>
      </c>
    </row>
    <row r="496" spans="1:20" x14ac:dyDescent="0.25">
      <c r="E496" s="34"/>
      <c r="F496" s="34"/>
      <c r="G496" s="34">
        <f t="shared" si="323"/>
        <v>0</v>
      </c>
      <c r="H496" s="34"/>
      <c r="I496" s="34"/>
      <c r="J496" s="34">
        <f t="shared" si="324"/>
        <v>0</v>
      </c>
      <c r="K496" s="34"/>
      <c r="L496" s="34"/>
      <c r="M496" s="34">
        <f t="shared" si="325"/>
        <v>0</v>
      </c>
      <c r="N496" s="34">
        <f t="shared" si="326"/>
        <v>0</v>
      </c>
      <c r="O496" s="34">
        <f t="shared" si="327"/>
        <v>0</v>
      </c>
      <c r="P496" s="34"/>
    </row>
    <row r="497" spans="1:18" x14ac:dyDescent="0.25">
      <c r="A497" s="8" t="s">
        <v>277</v>
      </c>
      <c r="B497" s="4" t="str">
        <f>LEFT(A497,4)</f>
        <v>5218</v>
      </c>
      <c r="C497" s="102">
        <v>1000</v>
      </c>
      <c r="D497" s="98">
        <v>0</v>
      </c>
      <c r="E497" s="34">
        <f>VLOOKUP($B497,Town_Sage!$A$5:$D$399,3,0)</f>
        <v>893.69</v>
      </c>
      <c r="F497" s="34">
        <f>VLOOKUP($B497,Town_Sage!$A$5:$D$399,4,0)</f>
        <v>0</v>
      </c>
      <c r="G497" s="34">
        <f t="shared" si="323"/>
        <v>893.69</v>
      </c>
      <c r="H497" s="34"/>
      <c r="I497" s="34"/>
      <c r="J497" s="34">
        <f t="shared" si="324"/>
        <v>0</v>
      </c>
      <c r="K497" s="34"/>
      <c r="L497" s="34"/>
      <c r="M497" s="34">
        <f t="shared" si="325"/>
        <v>0</v>
      </c>
      <c r="N497" s="34">
        <f t="shared" si="326"/>
        <v>893.69</v>
      </c>
      <c r="O497" s="34">
        <f t="shared" si="327"/>
        <v>0</v>
      </c>
      <c r="P497" s="34">
        <f t="shared" si="328"/>
        <v>893.69</v>
      </c>
    </row>
    <row r="498" spans="1:18" x14ac:dyDescent="0.25">
      <c r="A498" s="8" t="s">
        <v>278</v>
      </c>
      <c r="B498" s="4" t="str">
        <f>LEFT(A498,4)</f>
        <v>5244</v>
      </c>
      <c r="C498" s="102">
        <v>2000</v>
      </c>
      <c r="D498" s="98">
        <v>0</v>
      </c>
      <c r="E498" s="34">
        <f>VLOOKUP($B498,Town_Sage!$A$5:$D$399,3,0)</f>
        <v>1995.4</v>
      </c>
      <c r="F498" s="34">
        <f>VLOOKUP($B498,Town_Sage!$A$5:$D$399,4,0)</f>
        <v>0</v>
      </c>
      <c r="G498" s="34">
        <f t="shared" si="323"/>
        <v>1995.4</v>
      </c>
      <c r="H498" s="34"/>
      <c r="I498" s="34"/>
      <c r="J498" s="34">
        <f t="shared" si="324"/>
        <v>0</v>
      </c>
      <c r="K498" s="34"/>
      <c r="L498" s="34"/>
      <c r="M498" s="34">
        <f t="shared" si="325"/>
        <v>0</v>
      </c>
      <c r="N498" s="34">
        <f t="shared" si="326"/>
        <v>1995.4</v>
      </c>
      <c r="O498" s="34">
        <f t="shared" si="327"/>
        <v>0</v>
      </c>
      <c r="P498" s="34">
        <f t="shared" si="328"/>
        <v>1995.4</v>
      </c>
    </row>
    <row r="499" spans="1:18" x14ac:dyDescent="0.25">
      <c r="A499" s="8" t="s">
        <v>279</v>
      </c>
      <c r="B499" s="4" t="str">
        <f>LEFT(A499,4)</f>
        <v>5268</v>
      </c>
      <c r="C499" s="102">
        <v>3000</v>
      </c>
      <c r="D499" s="98">
        <v>0</v>
      </c>
      <c r="E499" s="34">
        <f>VLOOKUP($B499,Town_Sage!$A$5:$D$399,3,0)</f>
        <v>3106.65</v>
      </c>
      <c r="F499" s="34">
        <f>VLOOKUP($B499,Town_Sage!$A$5:$D$399,4,0)</f>
        <v>0</v>
      </c>
      <c r="G499" s="34">
        <f t="shared" si="323"/>
        <v>3106.65</v>
      </c>
      <c r="H499" s="34"/>
      <c r="I499" s="34"/>
      <c r="J499" s="34">
        <f t="shared" si="324"/>
        <v>0</v>
      </c>
      <c r="K499" s="34"/>
      <c r="L499" s="34"/>
      <c r="M499" s="34">
        <f t="shared" si="325"/>
        <v>0</v>
      </c>
      <c r="N499" s="34">
        <f t="shared" si="326"/>
        <v>3106.65</v>
      </c>
      <c r="O499" s="34">
        <f t="shared" si="327"/>
        <v>0</v>
      </c>
      <c r="P499" s="34">
        <f t="shared" si="328"/>
        <v>3106.65</v>
      </c>
    </row>
    <row r="500" spans="1:18" x14ac:dyDescent="0.25">
      <c r="A500" s="8" t="s">
        <v>5</v>
      </c>
      <c r="C500" s="103">
        <f t="shared" ref="C500:D500" si="345">SUM(C497:C499)</f>
        <v>6000</v>
      </c>
      <c r="D500" s="99">
        <f t="shared" si="345"/>
        <v>0</v>
      </c>
      <c r="E500" s="35">
        <f>SUM(E497:E499)</f>
        <v>5995.74</v>
      </c>
      <c r="F500" s="35">
        <f t="shared" ref="F500:P500" si="346">SUM(F497:F499)</f>
        <v>0</v>
      </c>
      <c r="G500" s="35">
        <f t="shared" si="346"/>
        <v>5995.74</v>
      </c>
      <c r="H500" s="35">
        <f t="shared" si="346"/>
        <v>0</v>
      </c>
      <c r="I500" s="35">
        <f t="shared" si="346"/>
        <v>0</v>
      </c>
      <c r="J500" s="35">
        <f t="shared" si="346"/>
        <v>0</v>
      </c>
      <c r="K500" s="35">
        <f t="shared" si="346"/>
        <v>0</v>
      </c>
      <c r="L500" s="35">
        <f t="shared" si="346"/>
        <v>0</v>
      </c>
      <c r="M500" s="35">
        <f t="shared" si="346"/>
        <v>0</v>
      </c>
      <c r="N500" s="35">
        <f t="shared" si="346"/>
        <v>5995.74</v>
      </c>
      <c r="O500" s="35">
        <f t="shared" si="346"/>
        <v>0</v>
      </c>
      <c r="P500" s="35">
        <f t="shared" si="346"/>
        <v>5995.74</v>
      </c>
    </row>
    <row r="501" spans="1:18" x14ac:dyDescent="0.25">
      <c r="C501" s="104"/>
      <c r="D501" s="100"/>
      <c r="E501" s="34"/>
      <c r="F501" s="34"/>
      <c r="G501" s="34">
        <f t="shared" si="323"/>
        <v>0</v>
      </c>
      <c r="H501" s="34"/>
      <c r="I501" s="34"/>
      <c r="J501" s="34">
        <f t="shared" si="324"/>
        <v>0</v>
      </c>
      <c r="K501" s="34"/>
      <c r="L501" s="34"/>
      <c r="M501" s="34">
        <f t="shared" si="325"/>
        <v>0</v>
      </c>
      <c r="N501" s="34">
        <f t="shared" si="326"/>
        <v>0</v>
      </c>
      <c r="O501" s="34">
        <f t="shared" si="327"/>
        <v>0</v>
      </c>
      <c r="P501" s="34"/>
    </row>
    <row r="502" spans="1:18" x14ac:dyDescent="0.25">
      <c r="A502" s="9" t="s">
        <v>280</v>
      </c>
      <c r="B502" s="12" t="str">
        <f>LEFT(A502,5)</f>
        <v>41.18</v>
      </c>
      <c r="C502" s="103">
        <f t="shared" ref="C502:D502" si="347">C500</f>
        <v>6000</v>
      </c>
      <c r="D502" s="99">
        <f t="shared" si="347"/>
        <v>0</v>
      </c>
      <c r="E502" s="35">
        <f>E500</f>
        <v>5995.74</v>
      </c>
      <c r="F502" s="35">
        <f t="shared" ref="F502:P502" si="348">F500</f>
        <v>0</v>
      </c>
      <c r="G502" s="35">
        <f t="shared" si="348"/>
        <v>5995.74</v>
      </c>
      <c r="H502" s="35">
        <f t="shared" si="348"/>
        <v>0</v>
      </c>
      <c r="I502" s="35">
        <f t="shared" si="348"/>
        <v>0</v>
      </c>
      <c r="J502" s="35">
        <f t="shared" si="348"/>
        <v>0</v>
      </c>
      <c r="K502" s="35">
        <f t="shared" si="348"/>
        <v>0</v>
      </c>
      <c r="L502" s="35">
        <f t="shared" si="348"/>
        <v>0</v>
      </c>
      <c r="M502" s="35">
        <f t="shared" si="348"/>
        <v>0</v>
      </c>
      <c r="N502" s="35">
        <f t="shared" si="348"/>
        <v>5995.74</v>
      </c>
      <c r="O502" s="35">
        <f t="shared" si="348"/>
        <v>0</v>
      </c>
      <c r="P502" s="35">
        <f t="shared" si="348"/>
        <v>5995.74</v>
      </c>
    </row>
    <row r="503" spans="1:18" x14ac:dyDescent="0.25">
      <c r="E503" s="34"/>
      <c r="F503" s="34"/>
      <c r="G503" s="34">
        <f t="shared" si="323"/>
        <v>0</v>
      </c>
      <c r="H503" s="34"/>
      <c r="I503" s="34"/>
      <c r="J503" s="34">
        <f t="shared" si="324"/>
        <v>0</v>
      </c>
      <c r="K503" s="34"/>
      <c r="L503" s="34"/>
      <c r="M503" s="34">
        <f t="shared" si="325"/>
        <v>0</v>
      </c>
      <c r="N503" s="34">
        <f t="shared" si="326"/>
        <v>0</v>
      </c>
      <c r="O503" s="34">
        <f t="shared" si="327"/>
        <v>0</v>
      </c>
      <c r="P503" s="34"/>
    </row>
    <row r="504" spans="1:18" x14ac:dyDescent="0.25">
      <c r="A504" s="8" t="s">
        <v>281</v>
      </c>
      <c r="B504" s="4" t="str">
        <f>LEFT(A504,4)</f>
        <v>5203</v>
      </c>
      <c r="C504" s="102">
        <v>12000</v>
      </c>
      <c r="D504" s="98">
        <v>0</v>
      </c>
      <c r="E504" s="34">
        <f>VLOOKUP($B504,Town_Sage!$A$5:$D$399,3,0)</f>
        <v>11595</v>
      </c>
      <c r="F504" s="34">
        <f>VLOOKUP($B504,Town_Sage!$A$5:$D$399,4,0)</f>
        <v>0</v>
      </c>
      <c r="G504" s="34">
        <f t="shared" si="323"/>
        <v>11595</v>
      </c>
      <c r="H504" s="34"/>
      <c r="I504" s="34"/>
      <c r="J504" s="34">
        <f t="shared" si="324"/>
        <v>0</v>
      </c>
      <c r="K504" s="34"/>
      <c r="L504" s="34"/>
      <c r="M504" s="34">
        <f t="shared" si="325"/>
        <v>0</v>
      </c>
      <c r="N504" s="34">
        <f t="shared" si="326"/>
        <v>11595</v>
      </c>
      <c r="O504" s="34">
        <f t="shared" si="327"/>
        <v>0</v>
      </c>
      <c r="P504" s="34">
        <f t="shared" si="328"/>
        <v>11595</v>
      </c>
    </row>
    <row r="505" spans="1:18" x14ac:dyDescent="0.25">
      <c r="A505" s="8" t="s">
        <v>5</v>
      </c>
      <c r="C505" s="103">
        <f t="shared" ref="C505:D505" si="349">C504</f>
        <v>12000</v>
      </c>
      <c r="D505" s="99">
        <f t="shared" si="349"/>
        <v>0</v>
      </c>
      <c r="E505" s="35">
        <f>E504</f>
        <v>11595</v>
      </c>
      <c r="F505" s="35">
        <f t="shared" ref="F505:P505" si="350">F504</f>
        <v>0</v>
      </c>
      <c r="G505" s="35">
        <f t="shared" si="350"/>
        <v>11595</v>
      </c>
      <c r="H505" s="35">
        <f t="shared" si="350"/>
        <v>0</v>
      </c>
      <c r="I505" s="35">
        <f t="shared" si="350"/>
        <v>0</v>
      </c>
      <c r="J505" s="35">
        <f t="shared" si="350"/>
        <v>0</v>
      </c>
      <c r="K505" s="35">
        <f t="shared" si="350"/>
        <v>0</v>
      </c>
      <c r="L505" s="35">
        <f t="shared" si="350"/>
        <v>0</v>
      </c>
      <c r="M505" s="35">
        <f t="shared" si="350"/>
        <v>0</v>
      </c>
      <c r="N505" s="35">
        <f t="shared" si="350"/>
        <v>11595</v>
      </c>
      <c r="O505" s="35">
        <f t="shared" si="350"/>
        <v>0</v>
      </c>
      <c r="P505" s="35">
        <f t="shared" si="350"/>
        <v>11595</v>
      </c>
    </row>
    <row r="506" spans="1:18" x14ac:dyDescent="0.25">
      <c r="C506" s="104"/>
      <c r="D506" s="100"/>
      <c r="E506" s="34"/>
      <c r="F506" s="34"/>
      <c r="G506" s="34">
        <f t="shared" si="323"/>
        <v>0</v>
      </c>
      <c r="H506" s="34"/>
      <c r="I506" s="34"/>
      <c r="J506" s="34">
        <f t="shared" si="324"/>
        <v>0</v>
      </c>
      <c r="K506" s="34"/>
      <c r="L506" s="34"/>
      <c r="M506" s="34">
        <f t="shared" si="325"/>
        <v>0</v>
      </c>
      <c r="N506" s="34">
        <f t="shared" si="326"/>
        <v>0</v>
      </c>
      <c r="O506" s="34">
        <f t="shared" si="327"/>
        <v>0</v>
      </c>
      <c r="P506" s="34"/>
    </row>
    <row r="507" spans="1:18" x14ac:dyDescent="0.25">
      <c r="A507" s="9" t="s">
        <v>282</v>
      </c>
      <c r="B507" s="12" t="str">
        <f>LEFT(A507,5)</f>
        <v>41.27</v>
      </c>
      <c r="C507" s="103">
        <f t="shared" ref="C507:D507" si="351">C505</f>
        <v>12000</v>
      </c>
      <c r="D507" s="99">
        <f t="shared" si="351"/>
        <v>0</v>
      </c>
      <c r="E507" s="35">
        <f>E505</f>
        <v>11595</v>
      </c>
      <c r="F507" s="35">
        <f t="shared" ref="F507:P507" si="352">F505</f>
        <v>0</v>
      </c>
      <c r="G507" s="35">
        <f t="shared" si="352"/>
        <v>11595</v>
      </c>
      <c r="H507" s="35">
        <f t="shared" si="352"/>
        <v>0</v>
      </c>
      <c r="I507" s="35">
        <f t="shared" si="352"/>
        <v>0</v>
      </c>
      <c r="J507" s="35">
        <f t="shared" si="352"/>
        <v>0</v>
      </c>
      <c r="K507" s="35">
        <f t="shared" si="352"/>
        <v>0</v>
      </c>
      <c r="L507" s="35">
        <f t="shared" si="352"/>
        <v>0</v>
      </c>
      <c r="M507" s="35">
        <f t="shared" si="352"/>
        <v>0</v>
      </c>
      <c r="N507" s="35">
        <f t="shared" si="352"/>
        <v>11595</v>
      </c>
      <c r="O507" s="35">
        <f t="shared" si="352"/>
        <v>0</v>
      </c>
      <c r="P507" s="35">
        <f t="shared" si="352"/>
        <v>11595</v>
      </c>
    </row>
    <row r="508" spans="1:18" x14ac:dyDescent="0.25">
      <c r="E508" s="34"/>
      <c r="F508" s="34"/>
      <c r="G508" s="34">
        <f t="shared" si="323"/>
        <v>0</v>
      </c>
      <c r="H508" s="34"/>
      <c r="I508" s="34"/>
      <c r="J508" s="34">
        <f t="shared" si="324"/>
        <v>0</v>
      </c>
      <c r="K508" s="34"/>
      <c r="L508" s="34"/>
      <c r="M508" s="34">
        <f t="shared" si="325"/>
        <v>0</v>
      </c>
      <c r="N508" s="34">
        <f t="shared" si="326"/>
        <v>0</v>
      </c>
      <c r="O508" s="34">
        <f t="shared" si="327"/>
        <v>0</v>
      </c>
      <c r="P508" s="34"/>
    </row>
    <row r="509" spans="1:18" x14ac:dyDescent="0.25">
      <c r="A509" s="8" t="s">
        <v>283</v>
      </c>
      <c r="B509" s="4" t="str">
        <f>LEFT(A509,4)</f>
        <v>5291</v>
      </c>
      <c r="C509" s="105">
        <f>38000* 1.225</f>
        <v>46550</v>
      </c>
      <c r="D509" s="98">
        <v>0</v>
      </c>
      <c r="E509" s="34">
        <f>VLOOKUP($B509,Town_Sage!$A$5:$D$399,3,0)</f>
        <v>38000</v>
      </c>
      <c r="F509" s="34">
        <f>VLOOKUP($B509,Town_Sage!$A$5:$D$399,4,0)</f>
        <v>0</v>
      </c>
      <c r="G509" s="34">
        <f t="shared" si="323"/>
        <v>38000</v>
      </c>
      <c r="H509" s="34"/>
      <c r="I509" s="34"/>
      <c r="J509" s="34">
        <f t="shared" si="324"/>
        <v>0</v>
      </c>
      <c r="K509" s="34"/>
      <c r="L509" s="34"/>
      <c r="M509" s="34">
        <f t="shared" si="325"/>
        <v>0</v>
      </c>
      <c r="N509" s="34">
        <f t="shared" si="326"/>
        <v>38000</v>
      </c>
      <c r="O509" s="34">
        <f t="shared" si="327"/>
        <v>0</v>
      </c>
      <c r="P509" s="34">
        <f t="shared" si="328"/>
        <v>38000</v>
      </c>
      <c r="R509" s="4" t="s">
        <v>2137</v>
      </c>
    </row>
    <row r="510" spans="1:18" x14ac:dyDescent="0.25">
      <c r="A510" s="8" t="s">
        <v>5</v>
      </c>
      <c r="C510" s="103">
        <f t="shared" ref="C510:D510" si="353">C509</f>
        <v>46550</v>
      </c>
      <c r="D510" s="99">
        <f t="shared" si="353"/>
        <v>0</v>
      </c>
      <c r="E510" s="35">
        <f>E509</f>
        <v>38000</v>
      </c>
      <c r="F510" s="35">
        <f t="shared" ref="F510:P510" si="354">F509</f>
        <v>0</v>
      </c>
      <c r="G510" s="35">
        <f t="shared" si="354"/>
        <v>38000</v>
      </c>
      <c r="H510" s="35">
        <f t="shared" si="354"/>
        <v>0</v>
      </c>
      <c r="I510" s="35">
        <f t="shared" si="354"/>
        <v>0</v>
      </c>
      <c r="J510" s="35">
        <f t="shared" si="354"/>
        <v>0</v>
      </c>
      <c r="K510" s="35">
        <f t="shared" si="354"/>
        <v>0</v>
      </c>
      <c r="L510" s="35">
        <f t="shared" si="354"/>
        <v>0</v>
      </c>
      <c r="M510" s="35">
        <f t="shared" si="354"/>
        <v>0</v>
      </c>
      <c r="N510" s="35">
        <f t="shared" si="354"/>
        <v>38000</v>
      </c>
      <c r="O510" s="35">
        <f t="shared" si="354"/>
        <v>0</v>
      </c>
      <c r="P510" s="35">
        <f t="shared" si="354"/>
        <v>38000</v>
      </c>
    </row>
    <row r="511" spans="1:18" x14ac:dyDescent="0.25">
      <c r="C511" s="104"/>
      <c r="D511" s="100"/>
      <c r="E511" s="34"/>
      <c r="F511" s="34"/>
      <c r="G511" s="34">
        <f t="shared" si="323"/>
        <v>0</v>
      </c>
      <c r="H511" s="34"/>
      <c r="I511" s="34"/>
      <c r="J511" s="34">
        <f t="shared" si="324"/>
        <v>0</v>
      </c>
      <c r="K511" s="34"/>
      <c r="L511" s="34"/>
      <c r="M511" s="34">
        <f t="shared" si="325"/>
        <v>0</v>
      </c>
      <c r="N511" s="34">
        <f t="shared" si="326"/>
        <v>0</v>
      </c>
      <c r="O511" s="34">
        <f t="shared" si="327"/>
        <v>0</v>
      </c>
      <c r="P511" s="34"/>
    </row>
    <row r="512" spans="1:18" x14ac:dyDescent="0.25">
      <c r="A512" s="9" t="s">
        <v>284</v>
      </c>
      <c r="B512" s="12" t="str">
        <f>LEFT(A512,5)</f>
        <v>41.29</v>
      </c>
      <c r="C512" s="103">
        <f t="shared" ref="C512:D512" si="355">C510</f>
        <v>46550</v>
      </c>
      <c r="D512" s="99">
        <f t="shared" si="355"/>
        <v>0</v>
      </c>
      <c r="E512" s="35">
        <f>E510</f>
        <v>38000</v>
      </c>
      <c r="F512" s="35">
        <f t="shared" ref="F512:P512" si="356">F510</f>
        <v>0</v>
      </c>
      <c r="G512" s="35">
        <f t="shared" si="356"/>
        <v>38000</v>
      </c>
      <c r="H512" s="35">
        <f t="shared" si="356"/>
        <v>0</v>
      </c>
      <c r="I512" s="35">
        <f t="shared" si="356"/>
        <v>0</v>
      </c>
      <c r="J512" s="35">
        <f t="shared" si="356"/>
        <v>0</v>
      </c>
      <c r="K512" s="35">
        <f t="shared" si="356"/>
        <v>0</v>
      </c>
      <c r="L512" s="35">
        <f t="shared" si="356"/>
        <v>0</v>
      </c>
      <c r="M512" s="35">
        <f t="shared" si="356"/>
        <v>0</v>
      </c>
      <c r="N512" s="35">
        <f t="shared" si="356"/>
        <v>38000</v>
      </c>
      <c r="O512" s="35">
        <f t="shared" si="356"/>
        <v>0</v>
      </c>
      <c r="P512" s="35">
        <f t="shared" si="356"/>
        <v>38000</v>
      </c>
    </row>
    <row r="513" spans="1:20" x14ac:dyDescent="0.25">
      <c r="E513" s="34"/>
      <c r="F513" s="34"/>
      <c r="G513" s="34">
        <f t="shared" si="323"/>
        <v>0</v>
      </c>
      <c r="H513" s="34"/>
      <c r="I513" s="34"/>
      <c r="J513" s="34">
        <f t="shared" si="324"/>
        <v>0</v>
      </c>
      <c r="K513" s="34"/>
      <c r="L513" s="34"/>
      <c r="M513" s="34">
        <f t="shared" si="325"/>
        <v>0</v>
      </c>
      <c r="N513" s="34">
        <f t="shared" si="326"/>
        <v>0</v>
      </c>
      <c r="O513" s="34">
        <f t="shared" si="327"/>
        <v>0</v>
      </c>
      <c r="P513" s="34"/>
    </row>
    <row r="514" spans="1:20" x14ac:dyDescent="0.25">
      <c r="A514" s="8" t="s">
        <v>285</v>
      </c>
      <c r="B514" s="4" t="str">
        <f>LEFT(A514,4)</f>
        <v>5293</v>
      </c>
      <c r="C514" s="102">
        <v>50000</v>
      </c>
      <c r="D514" s="98">
        <v>13000</v>
      </c>
      <c r="E514" s="34">
        <f>VLOOKUP($B514,Town_Sage!$A$5:$D$399,3,0)</f>
        <v>30128.79</v>
      </c>
      <c r="F514" s="34">
        <f>VLOOKUP($B514,Town_Sage!$A$5:$D$399,4,0)</f>
        <v>0</v>
      </c>
      <c r="G514" s="34">
        <f t="shared" si="323"/>
        <v>30128.79</v>
      </c>
      <c r="H514" s="34"/>
      <c r="I514" s="34"/>
      <c r="J514" s="34">
        <f t="shared" si="324"/>
        <v>0</v>
      </c>
      <c r="K514" s="34"/>
      <c r="L514" s="34"/>
      <c r="M514" s="34">
        <f t="shared" si="325"/>
        <v>0</v>
      </c>
      <c r="N514" s="34">
        <f t="shared" si="326"/>
        <v>30128.79</v>
      </c>
      <c r="O514" s="34">
        <f t="shared" si="327"/>
        <v>0</v>
      </c>
      <c r="P514" s="34">
        <f t="shared" si="328"/>
        <v>30128.79</v>
      </c>
    </row>
    <row r="515" spans="1:20" x14ac:dyDescent="0.25">
      <c r="A515" s="8" t="s">
        <v>5</v>
      </c>
      <c r="C515" s="103">
        <f t="shared" ref="C515:D515" si="357">C514</f>
        <v>50000</v>
      </c>
      <c r="D515" s="99">
        <f t="shared" si="357"/>
        <v>13000</v>
      </c>
      <c r="E515" s="35">
        <f>E514</f>
        <v>30128.79</v>
      </c>
      <c r="F515" s="35">
        <f t="shared" ref="F515:P515" si="358">F514</f>
        <v>0</v>
      </c>
      <c r="G515" s="35">
        <f t="shared" si="358"/>
        <v>30128.79</v>
      </c>
      <c r="H515" s="35">
        <f t="shared" si="358"/>
        <v>0</v>
      </c>
      <c r="I515" s="35">
        <f t="shared" si="358"/>
        <v>0</v>
      </c>
      <c r="J515" s="35">
        <f t="shared" si="358"/>
        <v>0</v>
      </c>
      <c r="K515" s="35">
        <f t="shared" si="358"/>
        <v>0</v>
      </c>
      <c r="L515" s="35">
        <f t="shared" si="358"/>
        <v>0</v>
      </c>
      <c r="M515" s="35">
        <f t="shared" si="358"/>
        <v>0</v>
      </c>
      <c r="N515" s="35">
        <f t="shared" si="358"/>
        <v>30128.79</v>
      </c>
      <c r="O515" s="35">
        <f t="shared" si="358"/>
        <v>0</v>
      </c>
      <c r="P515" s="35">
        <f t="shared" si="358"/>
        <v>30128.79</v>
      </c>
    </row>
    <row r="516" spans="1:20" x14ac:dyDescent="0.25">
      <c r="C516" s="104"/>
      <c r="D516" s="100"/>
      <c r="E516" s="34"/>
      <c r="F516" s="34"/>
      <c r="G516" s="34">
        <f t="shared" si="323"/>
        <v>0</v>
      </c>
      <c r="H516" s="34"/>
      <c r="I516" s="34"/>
      <c r="J516" s="34">
        <f t="shared" si="324"/>
        <v>0</v>
      </c>
      <c r="K516" s="34"/>
      <c r="L516" s="34"/>
      <c r="M516" s="34">
        <f t="shared" si="325"/>
        <v>0</v>
      </c>
      <c r="N516" s="34">
        <f t="shared" si="326"/>
        <v>0</v>
      </c>
      <c r="O516" s="34">
        <f t="shared" si="327"/>
        <v>0</v>
      </c>
      <c r="P516" s="34"/>
    </row>
    <row r="517" spans="1:20" x14ac:dyDescent="0.25">
      <c r="A517" s="9" t="s">
        <v>286</v>
      </c>
      <c r="B517" s="12" t="str">
        <f>LEFT(A517,5)</f>
        <v>41.30</v>
      </c>
      <c r="C517" s="103">
        <f t="shared" ref="C517:D517" si="359">C515</f>
        <v>50000</v>
      </c>
      <c r="D517" s="99">
        <f t="shared" si="359"/>
        <v>13000</v>
      </c>
      <c r="E517" s="35">
        <f>E515</f>
        <v>30128.79</v>
      </c>
      <c r="F517" s="35">
        <f t="shared" ref="F517:P517" si="360">F515</f>
        <v>0</v>
      </c>
      <c r="G517" s="35">
        <f t="shared" si="360"/>
        <v>30128.79</v>
      </c>
      <c r="H517" s="35">
        <f t="shared" si="360"/>
        <v>0</v>
      </c>
      <c r="I517" s="35">
        <f t="shared" si="360"/>
        <v>0</v>
      </c>
      <c r="J517" s="35">
        <f t="shared" si="360"/>
        <v>0</v>
      </c>
      <c r="K517" s="35">
        <f t="shared" si="360"/>
        <v>0</v>
      </c>
      <c r="L517" s="35">
        <f t="shared" si="360"/>
        <v>0</v>
      </c>
      <c r="M517" s="35">
        <f t="shared" si="360"/>
        <v>0</v>
      </c>
      <c r="N517" s="35">
        <f t="shared" si="360"/>
        <v>30128.79</v>
      </c>
      <c r="O517" s="35">
        <f t="shared" si="360"/>
        <v>0</v>
      </c>
      <c r="P517" s="35">
        <f t="shared" si="360"/>
        <v>30128.79</v>
      </c>
    </row>
    <row r="518" spans="1:20" x14ac:dyDescent="0.25">
      <c r="E518" s="34"/>
      <c r="F518" s="34"/>
      <c r="G518" s="34">
        <f t="shared" si="323"/>
        <v>0</v>
      </c>
      <c r="H518" s="34"/>
      <c r="I518" s="34"/>
      <c r="J518" s="34">
        <f t="shared" si="324"/>
        <v>0</v>
      </c>
      <c r="K518" s="34"/>
      <c r="L518" s="34"/>
      <c r="M518" s="34">
        <f t="shared" si="325"/>
        <v>0</v>
      </c>
      <c r="N518" s="34">
        <f t="shared" si="326"/>
        <v>0</v>
      </c>
      <c r="O518" s="34">
        <f t="shared" si="327"/>
        <v>0</v>
      </c>
      <c r="P518" s="34"/>
    </row>
    <row r="519" spans="1:20" x14ac:dyDescent="0.25">
      <c r="A519" s="8" t="s">
        <v>287</v>
      </c>
      <c r="B519" s="4" t="str">
        <f>LEFT(A519,4)</f>
        <v>5247</v>
      </c>
      <c r="C519" s="102">
        <v>0</v>
      </c>
      <c r="D519" s="98">
        <v>0</v>
      </c>
      <c r="E519" s="34">
        <f>VLOOKUP($B519,Town_Sage!$A$5:$D$399,3,0)</f>
        <v>0</v>
      </c>
      <c r="F519" s="34">
        <f>VLOOKUP($B519,Town_Sage!$A$5:$D$399,4,0)</f>
        <v>0</v>
      </c>
      <c r="G519" s="34">
        <f t="shared" si="323"/>
        <v>0</v>
      </c>
      <c r="H519" s="34"/>
      <c r="I519" s="34"/>
      <c r="J519" s="34">
        <f t="shared" si="324"/>
        <v>0</v>
      </c>
      <c r="K519" s="34"/>
      <c r="L519" s="34"/>
      <c r="M519" s="34">
        <f t="shared" si="325"/>
        <v>0</v>
      </c>
      <c r="N519" s="34">
        <f t="shared" si="326"/>
        <v>0</v>
      </c>
      <c r="O519" s="34">
        <f t="shared" si="327"/>
        <v>0</v>
      </c>
      <c r="P519" s="34">
        <f t="shared" si="328"/>
        <v>0</v>
      </c>
    </row>
    <row r="520" spans="1:20" x14ac:dyDescent="0.25">
      <c r="A520" s="8" t="s">
        <v>288</v>
      </c>
      <c r="B520" s="4" t="str">
        <f>LEFT(A520,4)</f>
        <v>5265</v>
      </c>
      <c r="C520" s="102">
        <v>120</v>
      </c>
      <c r="D520" s="98">
        <v>-400</v>
      </c>
      <c r="E520" s="34">
        <f>VLOOKUP($B520,Town_Sage!$A$5:$D$399,3,0)</f>
        <v>520.5</v>
      </c>
      <c r="F520" s="34">
        <f>VLOOKUP($B520,Town_Sage!$A$5:$D$399,4,0)</f>
        <v>0</v>
      </c>
      <c r="G520" s="34">
        <f t="shared" si="323"/>
        <v>520.5</v>
      </c>
      <c r="H520" s="34"/>
      <c r="I520" s="34"/>
      <c r="J520" s="34">
        <f t="shared" si="324"/>
        <v>0</v>
      </c>
      <c r="K520" s="34"/>
      <c r="L520" s="34"/>
      <c r="M520" s="34">
        <f t="shared" si="325"/>
        <v>0</v>
      </c>
      <c r="N520" s="34">
        <f t="shared" si="326"/>
        <v>520.5</v>
      </c>
      <c r="O520" s="34">
        <f t="shared" si="327"/>
        <v>0</v>
      </c>
      <c r="P520" s="34">
        <f t="shared" si="328"/>
        <v>520.5</v>
      </c>
    </row>
    <row r="521" spans="1:20" x14ac:dyDescent="0.25">
      <c r="A521" s="8" t="s">
        <v>289</v>
      </c>
      <c r="B521" s="4" t="str">
        <f>LEFT(A521,4)</f>
        <v>5286</v>
      </c>
      <c r="C521" s="102">
        <v>0</v>
      </c>
      <c r="D521" s="98">
        <v>0</v>
      </c>
      <c r="E521" s="34">
        <f>VLOOKUP($B521,Town_Sage!$A$5:$D$399,3,0)</f>
        <v>0</v>
      </c>
      <c r="F521" s="34">
        <f>VLOOKUP($B521,Town_Sage!$A$5:$D$399,4,0)</f>
        <v>0</v>
      </c>
      <c r="G521" s="34">
        <f t="shared" si="323"/>
        <v>0</v>
      </c>
      <c r="H521" s="34"/>
      <c r="I521" s="34"/>
      <c r="J521" s="34">
        <f t="shared" si="324"/>
        <v>0</v>
      </c>
      <c r="K521" s="34"/>
      <c r="L521" s="34"/>
      <c r="M521" s="34">
        <f t="shared" si="325"/>
        <v>0</v>
      </c>
      <c r="N521" s="34">
        <f t="shared" si="326"/>
        <v>0</v>
      </c>
      <c r="O521" s="34">
        <f t="shared" si="327"/>
        <v>0</v>
      </c>
      <c r="P521" s="34">
        <f t="shared" si="328"/>
        <v>0</v>
      </c>
    </row>
    <row r="522" spans="1:20" x14ac:dyDescent="0.25">
      <c r="A522" s="8" t="s">
        <v>5</v>
      </c>
      <c r="C522" s="103">
        <f t="shared" ref="C522:D522" si="361">SUM(C519:C521)</f>
        <v>120</v>
      </c>
      <c r="D522" s="99">
        <f t="shared" si="361"/>
        <v>-400</v>
      </c>
      <c r="E522" s="35">
        <f>SUM(E519:E521)</f>
        <v>520.5</v>
      </c>
      <c r="F522" s="35">
        <f t="shared" ref="F522:P522" si="362">SUM(F519:F521)</f>
        <v>0</v>
      </c>
      <c r="G522" s="35">
        <f t="shared" si="362"/>
        <v>520.5</v>
      </c>
      <c r="H522" s="35">
        <f t="shared" si="362"/>
        <v>0</v>
      </c>
      <c r="I522" s="35">
        <f t="shared" si="362"/>
        <v>0</v>
      </c>
      <c r="J522" s="35">
        <f t="shared" si="362"/>
        <v>0</v>
      </c>
      <c r="K522" s="35">
        <f t="shared" si="362"/>
        <v>0</v>
      </c>
      <c r="L522" s="35">
        <f t="shared" si="362"/>
        <v>0</v>
      </c>
      <c r="M522" s="35">
        <f t="shared" si="362"/>
        <v>0</v>
      </c>
      <c r="N522" s="35">
        <f t="shared" si="362"/>
        <v>520.5</v>
      </c>
      <c r="O522" s="35">
        <f t="shared" si="362"/>
        <v>0</v>
      </c>
      <c r="P522" s="35">
        <f t="shared" si="362"/>
        <v>520.5</v>
      </c>
    </row>
    <row r="523" spans="1:20" x14ac:dyDescent="0.25">
      <c r="C523" s="104"/>
      <c r="D523" s="100"/>
      <c r="E523" s="34"/>
      <c r="F523" s="34"/>
      <c r="G523" s="34">
        <f t="shared" si="323"/>
        <v>0</v>
      </c>
      <c r="H523" s="34"/>
      <c r="I523" s="34"/>
      <c r="J523" s="34">
        <f t="shared" si="324"/>
        <v>0</v>
      </c>
      <c r="K523" s="34"/>
      <c r="L523" s="34"/>
      <c r="M523" s="34">
        <f t="shared" si="325"/>
        <v>0</v>
      </c>
      <c r="N523" s="34">
        <f t="shared" si="326"/>
        <v>0</v>
      </c>
      <c r="O523" s="34">
        <f t="shared" si="327"/>
        <v>0</v>
      </c>
      <c r="P523" s="34"/>
    </row>
    <row r="524" spans="1:20" x14ac:dyDescent="0.25">
      <c r="A524" s="9" t="s">
        <v>290</v>
      </c>
      <c r="B524" s="12" t="str">
        <f>LEFT(A524,5)</f>
        <v>41.31</v>
      </c>
      <c r="C524" s="103">
        <f t="shared" ref="C524:D524" si="363">C522</f>
        <v>120</v>
      </c>
      <c r="D524" s="99">
        <f t="shared" si="363"/>
        <v>-400</v>
      </c>
      <c r="E524" s="35">
        <f>E522</f>
        <v>520.5</v>
      </c>
      <c r="F524" s="35">
        <f t="shared" ref="F524:P524" si="364">F522</f>
        <v>0</v>
      </c>
      <c r="G524" s="35">
        <f t="shared" si="364"/>
        <v>520.5</v>
      </c>
      <c r="H524" s="35">
        <f t="shared" si="364"/>
        <v>0</v>
      </c>
      <c r="I524" s="35">
        <f t="shared" si="364"/>
        <v>0</v>
      </c>
      <c r="J524" s="35">
        <f t="shared" si="364"/>
        <v>0</v>
      </c>
      <c r="K524" s="35">
        <f t="shared" si="364"/>
        <v>0</v>
      </c>
      <c r="L524" s="35">
        <f t="shared" si="364"/>
        <v>0</v>
      </c>
      <c r="M524" s="35">
        <f t="shared" si="364"/>
        <v>0</v>
      </c>
      <c r="N524" s="35">
        <f t="shared" si="364"/>
        <v>520.5</v>
      </c>
      <c r="O524" s="35">
        <f t="shared" si="364"/>
        <v>0</v>
      </c>
      <c r="P524" s="35">
        <f t="shared" si="364"/>
        <v>520.5</v>
      </c>
    </row>
    <row r="525" spans="1:20" x14ac:dyDescent="0.25">
      <c r="E525" s="34"/>
      <c r="F525" s="34"/>
      <c r="G525" s="34">
        <f t="shared" si="323"/>
        <v>0</v>
      </c>
      <c r="H525" s="34"/>
      <c r="I525" s="34"/>
      <c r="J525" s="34">
        <f t="shared" si="324"/>
        <v>0</v>
      </c>
      <c r="K525" s="34"/>
      <c r="L525" s="34"/>
      <c r="M525" s="34">
        <f t="shared" si="325"/>
        <v>0</v>
      </c>
      <c r="N525" s="34">
        <f t="shared" si="326"/>
        <v>0</v>
      </c>
      <c r="O525" s="34">
        <f t="shared" si="327"/>
        <v>0</v>
      </c>
      <c r="P525" s="34"/>
    </row>
    <row r="526" spans="1:20" x14ac:dyDescent="0.25">
      <c r="A526" s="8" t="s">
        <v>291</v>
      </c>
      <c r="B526" s="4" t="str">
        <f>LEFT(A526,4)</f>
        <v>5289</v>
      </c>
      <c r="C526" s="105">
        <v>18500</v>
      </c>
      <c r="D526" s="101">
        <v>5300</v>
      </c>
      <c r="E526" s="111">
        <f>VLOOKUP($B526,Town_Sage!$A$5:$D$399,3,0)</f>
        <v>10327.120000000001</v>
      </c>
      <c r="F526" s="111">
        <f>VLOOKUP($B526,Town_Sage!$A$5:$D$399,4,0)</f>
        <v>0</v>
      </c>
      <c r="G526" s="111">
        <f t="shared" si="323"/>
        <v>10327.120000000001</v>
      </c>
      <c r="H526" s="111"/>
      <c r="I526" s="111"/>
      <c r="J526" s="111">
        <f t="shared" si="324"/>
        <v>0</v>
      </c>
      <c r="K526" s="111"/>
      <c r="L526" s="111"/>
      <c r="M526" s="111">
        <f t="shared" si="325"/>
        <v>0</v>
      </c>
      <c r="N526" s="111">
        <f t="shared" si="326"/>
        <v>10327.120000000001</v>
      </c>
      <c r="O526" s="111">
        <f t="shared" si="327"/>
        <v>0</v>
      </c>
      <c r="P526" s="111">
        <f t="shared" si="328"/>
        <v>10327.120000000001</v>
      </c>
      <c r="R526" s="4" t="s">
        <v>2225</v>
      </c>
      <c r="T526" s="4" t="s">
        <v>2226</v>
      </c>
    </row>
    <row r="527" spans="1:20" x14ac:dyDescent="0.25">
      <c r="A527" s="8" t="s">
        <v>5</v>
      </c>
      <c r="C527" s="103">
        <f t="shared" ref="C527:D527" si="365">C526</f>
        <v>18500</v>
      </c>
      <c r="D527" s="99">
        <f t="shared" si="365"/>
        <v>5300</v>
      </c>
      <c r="E527" s="35">
        <f>E526</f>
        <v>10327.120000000001</v>
      </c>
      <c r="F527" s="35">
        <f t="shared" ref="F527:P527" si="366">F526</f>
        <v>0</v>
      </c>
      <c r="G527" s="35">
        <f t="shared" si="366"/>
        <v>10327.120000000001</v>
      </c>
      <c r="H527" s="35">
        <f t="shared" si="366"/>
        <v>0</v>
      </c>
      <c r="I527" s="35">
        <f t="shared" si="366"/>
        <v>0</v>
      </c>
      <c r="J527" s="35">
        <f t="shared" si="366"/>
        <v>0</v>
      </c>
      <c r="K527" s="35">
        <f t="shared" si="366"/>
        <v>0</v>
      </c>
      <c r="L527" s="35">
        <f t="shared" si="366"/>
        <v>0</v>
      </c>
      <c r="M527" s="35">
        <f t="shared" si="366"/>
        <v>0</v>
      </c>
      <c r="N527" s="35">
        <f t="shared" si="366"/>
        <v>10327.120000000001</v>
      </c>
      <c r="O527" s="35">
        <f t="shared" si="366"/>
        <v>0</v>
      </c>
      <c r="P527" s="35">
        <f t="shared" si="366"/>
        <v>10327.120000000001</v>
      </c>
      <c r="R527" s="4" t="s">
        <v>2228</v>
      </c>
    </row>
    <row r="528" spans="1:20" x14ac:dyDescent="0.25">
      <c r="C528" s="104"/>
      <c r="D528" s="100"/>
      <c r="E528" s="34"/>
      <c r="F528" s="34"/>
      <c r="G528" s="34">
        <f t="shared" si="323"/>
        <v>0</v>
      </c>
      <c r="H528" s="34"/>
      <c r="I528" s="34"/>
      <c r="J528" s="34">
        <f t="shared" si="324"/>
        <v>0</v>
      </c>
      <c r="K528" s="34"/>
      <c r="L528" s="34"/>
      <c r="M528" s="34">
        <f t="shared" si="325"/>
        <v>0</v>
      </c>
      <c r="N528" s="34">
        <f t="shared" si="326"/>
        <v>0</v>
      </c>
      <c r="O528" s="34">
        <f t="shared" si="327"/>
        <v>0</v>
      </c>
      <c r="P528" s="34"/>
    </row>
    <row r="529" spans="1:19" x14ac:dyDescent="0.25">
      <c r="A529" s="9" t="s">
        <v>292</v>
      </c>
      <c r="B529" s="12" t="str">
        <f>LEFT(A529,5)</f>
        <v>41.34</v>
      </c>
      <c r="C529" s="103">
        <f t="shared" ref="C529:D529" si="367">C527</f>
        <v>18500</v>
      </c>
      <c r="D529" s="99">
        <f t="shared" si="367"/>
        <v>5300</v>
      </c>
      <c r="E529" s="35">
        <f>E527</f>
        <v>10327.120000000001</v>
      </c>
      <c r="F529" s="35">
        <f t="shared" ref="F529:P529" si="368">F527</f>
        <v>0</v>
      </c>
      <c r="G529" s="35">
        <f t="shared" si="368"/>
        <v>10327.120000000001</v>
      </c>
      <c r="H529" s="35">
        <f t="shared" si="368"/>
        <v>0</v>
      </c>
      <c r="I529" s="35">
        <f t="shared" si="368"/>
        <v>0</v>
      </c>
      <c r="J529" s="35">
        <f t="shared" si="368"/>
        <v>0</v>
      </c>
      <c r="K529" s="35">
        <f t="shared" si="368"/>
        <v>0</v>
      </c>
      <c r="L529" s="35">
        <f t="shared" si="368"/>
        <v>0</v>
      </c>
      <c r="M529" s="35">
        <f t="shared" si="368"/>
        <v>0</v>
      </c>
      <c r="N529" s="35">
        <f t="shared" si="368"/>
        <v>10327.120000000001</v>
      </c>
      <c r="O529" s="35">
        <f t="shared" si="368"/>
        <v>0</v>
      </c>
      <c r="P529" s="35">
        <f t="shared" si="368"/>
        <v>10327.120000000001</v>
      </c>
    </row>
    <row r="530" spans="1:19" x14ac:dyDescent="0.25">
      <c r="E530" s="34"/>
      <c r="F530" s="34"/>
      <c r="G530" s="34">
        <f t="shared" si="323"/>
        <v>0</v>
      </c>
      <c r="H530" s="34"/>
      <c r="I530" s="34"/>
      <c r="J530" s="34">
        <f t="shared" si="324"/>
        <v>0</v>
      </c>
      <c r="K530" s="34"/>
      <c r="L530" s="34"/>
      <c r="M530" s="34">
        <f t="shared" si="325"/>
        <v>0</v>
      </c>
      <c r="N530" s="34">
        <f t="shared" si="326"/>
        <v>0</v>
      </c>
      <c r="O530" s="34">
        <f t="shared" si="327"/>
        <v>0</v>
      </c>
      <c r="P530" s="34"/>
    </row>
    <row r="531" spans="1:19" x14ac:dyDescent="0.25">
      <c r="A531" s="8" t="s">
        <v>293</v>
      </c>
      <c r="B531" s="4" t="str">
        <f>LEFT(A531,4)</f>
        <v>5004</v>
      </c>
      <c r="C531" s="102">
        <v>111260</v>
      </c>
      <c r="D531" s="98">
        <v>26713</v>
      </c>
      <c r="E531" s="34">
        <f>VLOOKUP($B531,Town_Sage!$A$5:$D$399,3,0)</f>
        <v>80139</v>
      </c>
      <c r="F531" s="34">
        <f>VLOOKUP($B531,Town_Sage!$A$5:$D$399,4,0)</f>
        <v>0</v>
      </c>
      <c r="G531" s="34">
        <f t="shared" si="323"/>
        <v>80139</v>
      </c>
      <c r="H531" s="34"/>
      <c r="I531" s="34"/>
      <c r="J531" s="34">
        <f t="shared" ref="J531:J598" si="369">IF(H531&gt;0,H531,-I531)</f>
        <v>0</v>
      </c>
      <c r="K531" s="34"/>
      <c r="L531" s="34"/>
      <c r="M531" s="34">
        <f t="shared" ref="M531:M598" si="370">IF(K531&gt;0,K531,-L531)</f>
        <v>0</v>
      </c>
      <c r="N531" s="34">
        <f t="shared" si="326"/>
        <v>80139</v>
      </c>
      <c r="O531" s="34">
        <f t="shared" si="327"/>
        <v>0</v>
      </c>
      <c r="P531" s="34">
        <f t="shared" si="328"/>
        <v>80139</v>
      </c>
      <c r="R531" s="4">
        <v>106852</v>
      </c>
      <c r="S531" s="98">
        <f>R531-P531</f>
        <v>26713</v>
      </c>
    </row>
    <row r="532" spans="1:19" x14ac:dyDescent="0.25">
      <c r="A532" s="8" t="s">
        <v>5</v>
      </c>
      <c r="C532" s="103">
        <f t="shared" ref="C532:D532" si="371">C531</f>
        <v>111260</v>
      </c>
      <c r="D532" s="99">
        <f t="shared" si="371"/>
        <v>26713</v>
      </c>
      <c r="E532" s="35">
        <f>E531</f>
        <v>80139</v>
      </c>
      <c r="F532" s="35">
        <f t="shared" ref="F532:P532" si="372">F531</f>
        <v>0</v>
      </c>
      <c r="G532" s="35">
        <f t="shared" si="372"/>
        <v>80139</v>
      </c>
      <c r="H532" s="35">
        <f t="shared" si="372"/>
        <v>0</v>
      </c>
      <c r="I532" s="35">
        <f t="shared" si="372"/>
        <v>0</v>
      </c>
      <c r="J532" s="35">
        <f t="shared" si="372"/>
        <v>0</v>
      </c>
      <c r="K532" s="35">
        <f t="shared" si="372"/>
        <v>0</v>
      </c>
      <c r="L532" s="35">
        <f t="shared" si="372"/>
        <v>0</v>
      </c>
      <c r="M532" s="35">
        <f t="shared" si="372"/>
        <v>0</v>
      </c>
      <c r="N532" s="35">
        <f t="shared" si="372"/>
        <v>80139</v>
      </c>
      <c r="O532" s="35">
        <f t="shared" si="372"/>
        <v>0</v>
      </c>
      <c r="P532" s="35">
        <f t="shared" si="372"/>
        <v>80139</v>
      </c>
    </row>
    <row r="533" spans="1:19" x14ac:dyDescent="0.25">
      <c r="C533" s="104"/>
      <c r="D533" s="100"/>
      <c r="E533" s="34"/>
      <c r="F533" s="34"/>
      <c r="G533" s="34">
        <f t="shared" ref="G533:G600" si="373">IF(E533&gt;0,E533,-F533)</f>
        <v>0</v>
      </c>
      <c r="H533" s="34"/>
      <c r="I533" s="34"/>
      <c r="J533" s="34">
        <f t="shared" si="369"/>
        <v>0</v>
      </c>
      <c r="K533" s="34"/>
      <c r="L533" s="34"/>
      <c r="M533" s="34">
        <f t="shared" si="370"/>
        <v>0</v>
      </c>
      <c r="N533" s="34">
        <f t="shared" ref="N533:N600" si="374">E533+H533+K533</f>
        <v>0</v>
      </c>
      <c r="O533" s="34">
        <f t="shared" ref="O533:O600" si="375">F533+I533+L533</f>
        <v>0</v>
      </c>
      <c r="P533" s="34"/>
    </row>
    <row r="534" spans="1:19" x14ac:dyDescent="0.25">
      <c r="A534" s="9" t="s">
        <v>294</v>
      </c>
      <c r="B534" s="12" t="str">
        <f>LEFT(A534,5)</f>
        <v>42.35</v>
      </c>
      <c r="C534" s="103">
        <f t="shared" ref="C534:D534" si="376">C532</f>
        <v>111260</v>
      </c>
      <c r="D534" s="99">
        <f t="shared" si="376"/>
        <v>26713</v>
      </c>
      <c r="E534" s="35">
        <f>E532</f>
        <v>80139</v>
      </c>
      <c r="F534" s="35">
        <f t="shared" ref="F534:P534" si="377">F532</f>
        <v>0</v>
      </c>
      <c r="G534" s="35">
        <f t="shared" si="377"/>
        <v>80139</v>
      </c>
      <c r="H534" s="35">
        <f t="shared" si="377"/>
        <v>0</v>
      </c>
      <c r="I534" s="35">
        <f t="shared" si="377"/>
        <v>0</v>
      </c>
      <c r="J534" s="35">
        <f t="shared" si="377"/>
        <v>0</v>
      </c>
      <c r="K534" s="35">
        <f t="shared" si="377"/>
        <v>0</v>
      </c>
      <c r="L534" s="35">
        <f t="shared" si="377"/>
        <v>0</v>
      </c>
      <c r="M534" s="35">
        <f t="shared" si="377"/>
        <v>0</v>
      </c>
      <c r="N534" s="35">
        <f t="shared" si="377"/>
        <v>80139</v>
      </c>
      <c r="O534" s="35">
        <f t="shared" si="377"/>
        <v>0</v>
      </c>
      <c r="P534" s="35">
        <f t="shared" si="377"/>
        <v>80139</v>
      </c>
    </row>
    <row r="535" spans="1:19" x14ac:dyDescent="0.25">
      <c r="E535" s="34"/>
      <c r="F535" s="34"/>
      <c r="G535" s="34">
        <f t="shared" si="373"/>
        <v>0</v>
      </c>
      <c r="H535" s="34"/>
      <c r="I535" s="34"/>
      <c r="J535" s="34">
        <f t="shared" si="369"/>
        <v>0</v>
      </c>
      <c r="K535" s="34"/>
      <c r="L535" s="34"/>
      <c r="M535" s="34">
        <f t="shared" si="370"/>
        <v>0</v>
      </c>
      <c r="N535" s="34">
        <f t="shared" si="374"/>
        <v>0</v>
      </c>
      <c r="O535" s="34">
        <f t="shared" si="375"/>
        <v>0</v>
      </c>
      <c r="P535" s="34"/>
    </row>
    <row r="536" spans="1:19" x14ac:dyDescent="0.25">
      <c r="A536" s="8" t="s">
        <v>295</v>
      </c>
      <c r="B536" s="4" t="str">
        <f t="shared" ref="B536:B546" si="378">LEFT(A536,4)</f>
        <v>5333</v>
      </c>
      <c r="C536" s="102">
        <v>500</v>
      </c>
      <c r="D536" s="98">
        <v>0</v>
      </c>
      <c r="E536" s="34">
        <f>VLOOKUP($B536,Town_Sage!$A$5:$D$399,3,0)</f>
        <v>0</v>
      </c>
      <c r="F536" s="34">
        <f>VLOOKUP($B536,Town_Sage!$A$5:$D$399,4,0)</f>
        <v>0</v>
      </c>
      <c r="G536" s="34">
        <f t="shared" si="373"/>
        <v>0</v>
      </c>
      <c r="H536" s="34"/>
      <c r="I536" s="34"/>
      <c r="J536" s="34">
        <f t="shared" si="369"/>
        <v>0</v>
      </c>
      <c r="K536" s="34"/>
      <c r="L536" s="34"/>
      <c r="M536" s="34">
        <f t="shared" si="370"/>
        <v>0</v>
      </c>
      <c r="N536" s="34">
        <f t="shared" si="374"/>
        <v>0</v>
      </c>
      <c r="O536" s="34">
        <f t="shared" si="375"/>
        <v>0</v>
      </c>
      <c r="P536" s="34">
        <f t="shared" ref="P536:P598" si="379">IF(N536&gt;0,N536,-O536)</f>
        <v>0</v>
      </c>
    </row>
    <row r="537" spans="1:19" x14ac:dyDescent="0.25">
      <c r="A537" s="8" t="s">
        <v>296</v>
      </c>
      <c r="B537" s="4" t="str">
        <f t="shared" si="378"/>
        <v>5334</v>
      </c>
      <c r="C537" s="102">
        <v>5000</v>
      </c>
      <c r="D537" s="98">
        <v>0</v>
      </c>
      <c r="E537" s="34">
        <f>VLOOKUP($B537,Town_Sage!$A$5:$D$399,3,0)</f>
        <v>2670.4</v>
      </c>
      <c r="F537" s="34">
        <f>VLOOKUP($B537,Town_Sage!$A$5:$D$399,4,0)</f>
        <v>0</v>
      </c>
      <c r="G537" s="34">
        <f t="shared" si="373"/>
        <v>2670.4</v>
      </c>
      <c r="H537" s="34"/>
      <c r="I537" s="34"/>
      <c r="J537" s="34">
        <f t="shared" si="369"/>
        <v>0</v>
      </c>
      <c r="K537" s="34"/>
      <c r="L537" s="34"/>
      <c r="M537" s="34">
        <f t="shared" si="370"/>
        <v>0</v>
      </c>
      <c r="N537" s="34">
        <f t="shared" si="374"/>
        <v>2670.4</v>
      </c>
      <c r="O537" s="34">
        <f t="shared" si="375"/>
        <v>0</v>
      </c>
      <c r="P537" s="34">
        <f t="shared" si="379"/>
        <v>2670.4</v>
      </c>
    </row>
    <row r="538" spans="1:19" x14ac:dyDescent="0.25">
      <c r="A538" s="8" t="s">
        <v>297</v>
      </c>
      <c r="B538" s="4" t="str">
        <f t="shared" si="378"/>
        <v>5361</v>
      </c>
      <c r="C538" s="105">
        <v>500</v>
      </c>
      <c r="D538" s="98">
        <v>0</v>
      </c>
      <c r="E538" s="34">
        <f>VLOOKUP($B538,Town_Sage!$A$5:$D$399,3,0)</f>
        <v>644.62</v>
      </c>
      <c r="F538" s="34">
        <f>VLOOKUP($B538,Town_Sage!$A$5:$D$399,4,0)</f>
        <v>0</v>
      </c>
      <c r="G538" s="34">
        <f t="shared" si="373"/>
        <v>644.62</v>
      </c>
      <c r="H538" s="34"/>
      <c r="I538" s="34"/>
      <c r="J538" s="34">
        <f t="shared" si="369"/>
        <v>0</v>
      </c>
      <c r="K538" s="34"/>
      <c r="L538" s="34"/>
      <c r="M538" s="34">
        <f t="shared" si="370"/>
        <v>0</v>
      </c>
      <c r="N538" s="34">
        <f t="shared" si="374"/>
        <v>644.62</v>
      </c>
      <c r="O538" s="34">
        <f t="shared" si="375"/>
        <v>0</v>
      </c>
      <c r="P538" s="34">
        <f t="shared" si="379"/>
        <v>644.62</v>
      </c>
      <c r="R538" s="4" t="s">
        <v>2139</v>
      </c>
    </row>
    <row r="539" spans="1:19" x14ac:dyDescent="0.25">
      <c r="A539" s="8" t="s">
        <v>298</v>
      </c>
      <c r="B539" s="4" t="str">
        <f t="shared" si="378"/>
        <v>5709</v>
      </c>
      <c r="C539" s="102">
        <v>0</v>
      </c>
      <c r="D539" s="98">
        <v>0</v>
      </c>
      <c r="E539" s="34">
        <f>VLOOKUP($B539,Town_Sage!$A$5:$D$399,3,0)</f>
        <v>0</v>
      </c>
      <c r="F539" s="34">
        <f>VLOOKUP($B539,Town_Sage!$A$5:$D$399,4,0)</f>
        <v>0</v>
      </c>
      <c r="G539" s="34">
        <f t="shared" si="373"/>
        <v>0</v>
      </c>
      <c r="H539" s="34"/>
      <c r="I539" s="34"/>
      <c r="J539" s="34">
        <f t="shared" si="369"/>
        <v>0</v>
      </c>
      <c r="K539" s="34"/>
      <c r="L539" s="34"/>
      <c r="M539" s="34">
        <f t="shared" si="370"/>
        <v>0</v>
      </c>
      <c r="N539" s="34">
        <f t="shared" si="374"/>
        <v>0</v>
      </c>
      <c r="O539" s="34">
        <f t="shared" si="375"/>
        <v>0</v>
      </c>
      <c r="P539" s="34">
        <f t="shared" si="379"/>
        <v>0</v>
      </c>
    </row>
    <row r="540" spans="1:19" x14ac:dyDescent="0.25">
      <c r="A540" s="8" t="s">
        <v>299</v>
      </c>
      <c r="B540" s="4" t="str">
        <f t="shared" si="378"/>
        <v>5758</v>
      </c>
      <c r="C540" s="102">
        <v>0</v>
      </c>
      <c r="D540" s="98">
        <v>0</v>
      </c>
      <c r="E540" s="34">
        <f>VLOOKUP($B540,Town_Sage!$A$5:$D$399,3,0)</f>
        <v>1692.87</v>
      </c>
      <c r="F540" s="34">
        <f>VLOOKUP($B540,Town_Sage!$A$5:$D$399,4,0)</f>
        <v>0</v>
      </c>
      <c r="G540" s="34">
        <f t="shared" si="373"/>
        <v>1692.87</v>
      </c>
      <c r="H540" s="34"/>
      <c r="I540" s="34"/>
      <c r="J540" s="34">
        <f t="shared" si="369"/>
        <v>0</v>
      </c>
      <c r="K540" s="34"/>
      <c r="L540" s="34"/>
      <c r="M540" s="34">
        <f t="shared" si="370"/>
        <v>0</v>
      </c>
      <c r="N540" s="34">
        <f t="shared" si="374"/>
        <v>1692.87</v>
      </c>
      <c r="O540" s="34">
        <f t="shared" si="375"/>
        <v>0</v>
      </c>
      <c r="P540" s="111">
        <f t="shared" si="379"/>
        <v>1692.87</v>
      </c>
    </row>
    <row r="541" spans="1:19" x14ac:dyDescent="0.25">
      <c r="A541" s="8" t="s">
        <v>300</v>
      </c>
      <c r="B541" s="4" t="str">
        <f t="shared" si="378"/>
        <v>5760</v>
      </c>
      <c r="C541" s="102">
        <v>1500</v>
      </c>
      <c r="D541" s="98">
        <v>0</v>
      </c>
      <c r="E541" s="34">
        <f>VLOOKUP($B541,Town_Sage!$A$5:$D$399,3,0)</f>
        <v>1470.81</v>
      </c>
      <c r="F541" s="34">
        <f>VLOOKUP($B541,Town_Sage!$A$5:$D$399,4,0)</f>
        <v>0</v>
      </c>
      <c r="G541" s="34">
        <f t="shared" si="373"/>
        <v>1470.81</v>
      </c>
      <c r="H541" s="34"/>
      <c r="I541" s="34"/>
      <c r="J541" s="34">
        <f t="shared" si="369"/>
        <v>0</v>
      </c>
      <c r="K541" s="34"/>
      <c r="L541" s="34"/>
      <c r="M541" s="34">
        <f t="shared" si="370"/>
        <v>0</v>
      </c>
      <c r="N541" s="34">
        <f t="shared" si="374"/>
        <v>1470.81</v>
      </c>
      <c r="O541" s="34">
        <f t="shared" si="375"/>
        <v>0</v>
      </c>
      <c r="P541" s="34">
        <f t="shared" si="379"/>
        <v>1470.81</v>
      </c>
      <c r="R541" s="4" t="s">
        <v>2140</v>
      </c>
    </row>
    <row r="542" spans="1:19" x14ac:dyDescent="0.25">
      <c r="A542" s="8" t="s">
        <v>301</v>
      </c>
      <c r="B542" s="4" t="str">
        <f t="shared" si="378"/>
        <v>5882</v>
      </c>
      <c r="C542" s="102">
        <v>2699</v>
      </c>
      <c r="D542" s="98">
        <v>1145</v>
      </c>
      <c r="E542" s="34">
        <f>VLOOKUP($B542,Town_Sage!$A$5:$D$399,3,0)</f>
        <v>1104.44</v>
      </c>
      <c r="F542" s="34">
        <f>VLOOKUP($B542,Town_Sage!$A$5:$D$399,4,0)</f>
        <v>0</v>
      </c>
      <c r="G542" s="34">
        <f t="shared" si="373"/>
        <v>1104.44</v>
      </c>
      <c r="H542" s="34"/>
      <c r="I542" s="34"/>
      <c r="J542" s="34">
        <f t="shared" si="369"/>
        <v>0</v>
      </c>
      <c r="K542" s="34"/>
      <c r="L542" s="34"/>
      <c r="M542" s="34">
        <f t="shared" si="370"/>
        <v>0</v>
      </c>
      <c r="N542" s="34">
        <f t="shared" si="374"/>
        <v>1104.44</v>
      </c>
      <c r="O542" s="34">
        <f t="shared" si="375"/>
        <v>0</v>
      </c>
      <c r="P542" s="34">
        <f t="shared" si="379"/>
        <v>1104.44</v>
      </c>
      <c r="R542" s="4">
        <v>2249</v>
      </c>
      <c r="S542" s="98">
        <f>R542-P542</f>
        <v>1144.56</v>
      </c>
    </row>
    <row r="543" spans="1:19" x14ac:dyDescent="0.25">
      <c r="A543" s="8" t="s">
        <v>302</v>
      </c>
      <c r="B543" s="4" t="str">
        <f t="shared" si="378"/>
        <v>5906</v>
      </c>
      <c r="C543" s="102">
        <v>3000</v>
      </c>
      <c r="E543" s="34">
        <f>VLOOKUP($B543,Town_Sage!$A$5:$D$399,3,0)</f>
        <v>461.99</v>
      </c>
      <c r="F543" s="34">
        <f>VLOOKUP($B543,Town_Sage!$A$5:$D$399,4,0)</f>
        <v>0</v>
      </c>
      <c r="G543" s="34">
        <f t="shared" si="373"/>
        <v>461.99</v>
      </c>
      <c r="H543" s="34"/>
      <c r="I543" s="34"/>
      <c r="J543" s="34">
        <f t="shared" si="369"/>
        <v>0</v>
      </c>
      <c r="K543" s="34"/>
      <c r="L543" s="34"/>
      <c r="M543" s="34">
        <f t="shared" si="370"/>
        <v>0</v>
      </c>
      <c r="N543" s="34">
        <f t="shared" si="374"/>
        <v>461.99</v>
      </c>
      <c r="O543" s="34">
        <f t="shared" si="375"/>
        <v>0</v>
      </c>
      <c r="P543" s="34">
        <f t="shared" si="379"/>
        <v>461.99</v>
      </c>
    </row>
    <row r="544" spans="1:19" x14ac:dyDescent="0.25">
      <c r="A544" s="8" t="s">
        <v>303</v>
      </c>
      <c r="B544" s="4" t="str">
        <f t="shared" si="378"/>
        <v>5912</v>
      </c>
      <c r="C544" s="102">
        <v>1200</v>
      </c>
      <c r="E544" s="34">
        <f>VLOOKUP($B544,Town_Sage!$A$5:$D$399,3,0)</f>
        <v>3568.5</v>
      </c>
      <c r="F544" s="34">
        <f>VLOOKUP($B544,Town_Sage!$A$5:$D$399,4,0)</f>
        <v>0</v>
      </c>
      <c r="G544" s="34">
        <f t="shared" si="373"/>
        <v>3568.5</v>
      </c>
      <c r="H544" s="34"/>
      <c r="I544" s="34"/>
      <c r="J544" s="34">
        <f t="shared" si="369"/>
        <v>0</v>
      </c>
      <c r="K544" s="34"/>
      <c r="L544" s="34"/>
      <c r="M544" s="34">
        <f t="shared" si="370"/>
        <v>0</v>
      </c>
      <c r="N544" s="34">
        <f t="shared" si="374"/>
        <v>3568.5</v>
      </c>
      <c r="O544" s="34">
        <f t="shared" si="375"/>
        <v>0</v>
      </c>
      <c r="P544" s="34">
        <f t="shared" si="379"/>
        <v>3568.5</v>
      </c>
    </row>
    <row r="545" spans="1:20" x14ac:dyDescent="0.25">
      <c r="A545" s="8" t="s">
        <v>304</v>
      </c>
      <c r="B545" s="4" t="str">
        <f t="shared" si="378"/>
        <v>5915</v>
      </c>
      <c r="C545" s="102">
        <v>6000</v>
      </c>
      <c r="E545" s="34">
        <f>VLOOKUP($B545,Town_Sage!$A$5:$D$399,3,0)</f>
        <v>0</v>
      </c>
      <c r="F545" s="34">
        <f>VLOOKUP($B545,Town_Sage!$A$5:$D$399,4,0)</f>
        <v>0</v>
      </c>
      <c r="G545" s="34">
        <f t="shared" si="373"/>
        <v>0</v>
      </c>
      <c r="H545" s="34"/>
      <c r="I545" s="34"/>
      <c r="J545" s="34">
        <f t="shared" si="369"/>
        <v>0</v>
      </c>
      <c r="K545" s="34"/>
      <c r="L545" s="34"/>
      <c r="M545" s="34">
        <f t="shared" si="370"/>
        <v>0</v>
      </c>
      <c r="N545" s="34">
        <f t="shared" si="374"/>
        <v>0</v>
      </c>
      <c r="O545" s="34">
        <f t="shared" si="375"/>
        <v>0</v>
      </c>
      <c r="P545" s="34">
        <f t="shared" si="379"/>
        <v>0</v>
      </c>
      <c r="R545" s="4" t="s">
        <v>2138</v>
      </c>
    </row>
    <row r="546" spans="1:20" x14ac:dyDescent="0.25">
      <c r="A546" s="8" t="s">
        <v>305</v>
      </c>
      <c r="B546" s="4" t="str">
        <f t="shared" si="378"/>
        <v>5918</v>
      </c>
      <c r="C546" s="105">
        <v>2000</v>
      </c>
      <c r="E546" s="34">
        <f>VLOOKUP($B546,Town_Sage!$A$5:$D$399,3,0)</f>
        <v>39.119999999999997</v>
      </c>
      <c r="F546" s="34">
        <f>VLOOKUP($B546,Town_Sage!$A$5:$D$399,4,0)</f>
        <v>0</v>
      </c>
      <c r="G546" s="34">
        <f t="shared" si="373"/>
        <v>39.119999999999997</v>
      </c>
      <c r="H546" s="34"/>
      <c r="I546" s="34"/>
      <c r="J546" s="34">
        <f t="shared" si="369"/>
        <v>0</v>
      </c>
      <c r="K546" s="34"/>
      <c r="L546" s="34"/>
      <c r="M546" s="34">
        <f t="shared" si="370"/>
        <v>0</v>
      </c>
      <c r="N546" s="34">
        <f t="shared" si="374"/>
        <v>39.119999999999997</v>
      </c>
      <c r="O546" s="34">
        <f t="shared" si="375"/>
        <v>0</v>
      </c>
      <c r="P546" s="111">
        <f t="shared" si="379"/>
        <v>39.119999999999997</v>
      </c>
    </row>
    <row r="547" spans="1:20" x14ac:dyDescent="0.25">
      <c r="A547" s="8" t="s">
        <v>5</v>
      </c>
      <c r="C547" s="103">
        <f t="shared" ref="C547:D547" si="380">SUM(C536:C546)</f>
        <v>22399</v>
      </c>
      <c r="D547" s="99">
        <f t="shared" si="380"/>
        <v>1145</v>
      </c>
      <c r="E547" s="35">
        <f>SUM(E536:E546)</f>
        <v>11652.75</v>
      </c>
      <c r="F547" s="35">
        <f t="shared" ref="F547:P547" si="381">SUM(F536:F546)</f>
        <v>0</v>
      </c>
      <c r="G547" s="35">
        <f t="shared" si="381"/>
        <v>11652.75</v>
      </c>
      <c r="H547" s="35">
        <f t="shared" si="381"/>
        <v>0</v>
      </c>
      <c r="I547" s="35">
        <f t="shared" si="381"/>
        <v>0</v>
      </c>
      <c r="J547" s="35">
        <f t="shared" si="381"/>
        <v>0</v>
      </c>
      <c r="K547" s="35">
        <f t="shared" si="381"/>
        <v>0</v>
      </c>
      <c r="L547" s="35">
        <f t="shared" si="381"/>
        <v>0</v>
      </c>
      <c r="M547" s="35">
        <f t="shared" si="381"/>
        <v>0</v>
      </c>
      <c r="N547" s="35">
        <f t="shared" si="381"/>
        <v>11652.75</v>
      </c>
      <c r="O547" s="35">
        <f t="shared" si="381"/>
        <v>0</v>
      </c>
      <c r="P547" s="35">
        <f t="shared" si="381"/>
        <v>11652.75</v>
      </c>
    </row>
    <row r="548" spans="1:20" x14ac:dyDescent="0.25">
      <c r="C548" s="104"/>
      <c r="D548" s="100"/>
      <c r="E548" s="34"/>
      <c r="F548" s="34"/>
      <c r="G548" s="34">
        <f t="shared" si="373"/>
        <v>0</v>
      </c>
      <c r="H548" s="34"/>
      <c r="I548" s="34"/>
      <c r="J548" s="34">
        <f t="shared" si="369"/>
        <v>0</v>
      </c>
      <c r="K548" s="34"/>
      <c r="L548" s="34"/>
      <c r="M548" s="34">
        <f t="shared" si="370"/>
        <v>0</v>
      </c>
      <c r="N548" s="34">
        <f t="shared" si="374"/>
        <v>0</v>
      </c>
      <c r="O548" s="34">
        <f t="shared" si="375"/>
        <v>0</v>
      </c>
      <c r="P548" s="34"/>
    </row>
    <row r="549" spans="1:20" x14ac:dyDescent="0.25">
      <c r="A549" s="9" t="s">
        <v>306</v>
      </c>
      <c r="B549" s="12" t="str">
        <f>LEFT(A549,5)</f>
        <v>43.13</v>
      </c>
      <c r="C549" s="103">
        <f t="shared" ref="C549:D549" si="382">C547</f>
        <v>22399</v>
      </c>
      <c r="D549" s="99">
        <f t="shared" si="382"/>
        <v>1145</v>
      </c>
      <c r="E549" s="35">
        <f>E547</f>
        <v>11652.75</v>
      </c>
      <c r="F549" s="35">
        <f t="shared" ref="F549:P549" si="383">F547</f>
        <v>0</v>
      </c>
      <c r="G549" s="35">
        <f t="shared" si="383"/>
        <v>11652.75</v>
      </c>
      <c r="H549" s="35">
        <f t="shared" si="383"/>
        <v>0</v>
      </c>
      <c r="I549" s="35">
        <f t="shared" si="383"/>
        <v>0</v>
      </c>
      <c r="J549" s="35">
        <f t="shared" si="383"/>
        <v>0</v>
      </c>
      <c r="K549" s="35">
        <f t="shared" si="383"/>
        <v>0</v>
      </c>
      <c r="L549" s="35">
        <f t="shared" si="383"/>
        <v>0</v>
      </c>
      <c r="M549" s="35">
        <f t="shared" si="383"/>
        <v>0</v>
      </c>
      <c r="N549" s="35">
        <f t="shared" si="383"/>
        <v>11652.75</v>
      </c>
      <c r="O549" s="35">
        <f t="shared" si="383"/>
        <v>0</v>
      </c>
      <c r="P549" s="35">
        <f t="shared" si="383"/>
        <v>11652.75</v>
      </c>
    </row>
    <row r="550" spans="1:20" x14ac:dyDescent="0.25">
      <c r="E550" s="34"/>
      <c r="F550" s="34"/>
      <c r="G550" s="34">
        <f t="shared" si="373"/>
        <v>0</v>
      </c>
      <c r="H550" s="34"/>
      <c r="I550" s="34"/>
      <c r="J550" s="34">
        <f t="shared" si="369"/>
        <v>0</v>
      </c>
      <c r="K550" s="34"/>
      <c r="L550" s="34"/>
      <c r="M550" s="34">
        <f t="shared" si="370"/>
        <v>0</v>
      </c>
      <c r="N550" s="34">
        <f t="shared" si="374"/>
        <v>0</v>
      </c>
      <c r="O550" s="34">
        <f t="shared" si="375"/>
        <v>0</v>
      </c>
      <c r="P550" s="34"/>
    </row>
    <row r="551" spans="1:20" x14ac:dyDescent="0.25">
      <c r="A551" s="8" t="s">
        <v>307</v>
      </c>
      <c r="B551" s="4" t="str">
        <f>LEFT(A551,4)</f>
        <v>5339</v>
      </c>
      <c r="C551" s="102">
        <v>4388</v>
      </c>
      <c r="D551" s="98">
        <v>400</v>
      </c>
      <c r="E551" s="34">
        <f>VLOOKUP($B551,Town_Sage!$A$5:$D$399,3,0)</f>
        <v>4054.02</v>
      </c>
      <c r="F551" s="34">
        <f>VLOOKUP($B551,Town_Sage!$A$5:$D$399,4,0)</f>
        <v>0</v>
      </c>
      <c r="G551" s="34">
        <f t="shared" si="373"/>
        <v>4054.02</v>
      </c>
      <c r="H551" s="34"/>
      <c r="I551" s="34"/>
      <c r="J551" s="34">
        <f t="shared" si="369"/>
        <v>0</v>
      </c>
      <c r="K551" s="34"/>
      <c r="L551" s="34"/>
      <c r="M551" s="34">
        <f t="shared" si="370"/>
        <v>0</v>
      </c>
      <c r="N551" s="34">
        <f t="shared" si="374"/>
        <v>4054.02</v>
      </c>
      <c r="O551" s="34">
        <f t="shared" si="375"/>
        <v>0</v>
      </c>
      <c r="P551" s="34">
        <f t="shared" si="379"/>
        <v>4054.02</v>
      </c>
    </row>
    <row r="552" spans="1:20" x14ac:dyDescent="0.25">
      <c r="A552" s="8" t="s">
        <v>5</v>
      </c>
      <c r="C552" s="103">
        <f t="shared" ref="C552:D552" si="384">C551</f>
        <v>4388</v>
      </c>
      <c r="D552" s="99">
        <f t="shared" si="384"/>
        <v>400</v>
      </c>
      <c r="E552" s="35">
        <f>E551</f>
        <v>4054.02</v>
      </c>
      <c r="F552" s="35">
        <f t="shared" ref="F552:P552" si="385">F551</f>
        <v>0</v>
      </c>
      <c r="G552" s="35">
        <f t="shared" si="385"/>
        <v>4054.02</v>
      </c>
      <c r="H552" s="35">
        <f t="shared" si="385"/>
        <v>0</v>
      </c>
      <c r="I552" s="35">
        <f t="shared" si="385"/>
        <v>0</v>
      </c>
      <c r="J552" s="35">
        <f t="shared" si="385"/>
        <v>0</v>
      </c>
      <c r="K552" s="35">
        <f t="shared" si="385"/>
        <v>0</v>
      </c>
      <c r="L552" s="35">
        <f t="shared" si="385"/>
        <v>0</v>
      </c>
      <c r="M552" s="35">
        <f t="shared" si="385"/>
        <v>0</v>
      </c>
      <c r="N552" s="35">
        <f t="shared" si="385"/>
        <v>4054.02</v>
      </c>
      <c r="O552" s="35">
        <f t="shared" si="385"/>
        <v>0</v>
      </c>
      <c r="P552" s="35">
        <f t="shared" si="385"/>
        <v>4054.02</v>
      </c>
    </row>
    <row r="553" spans="1:20" x14ac:dyDescent="0.25">
      <c r="C553" s="104"/>
      <c r="D553" s="100"/>
      <c r="E553" s="34"/>
      <c r="F553" s="34"/>
      <c r="G553" s="34">
        <f t="shared" si="373"/>
        <v>0</v>
      </c>
      <c r="H553" s="34"/>
      <c r="I553" s="34"/>
      <c r="J553" s="34">
        <f t="shared" si="369"/>
        <v>0</v>
      </c>
      <c r="K553" s="34"/>
      <c r="L553" s="34"/>
      <c r="M553" s="34">
        <f t="shared" si="370"/>
        <v>0</v>
      </c>
      <c r="N553" s="34">
        <f t="shared" si="374"/>
        <v>0</v>
      </c>
      <c r="O553" s="34">
        <f t="shared" si="375"/>
        <v>0</v>
      </c>
      <c r="P553" s="34"/>
    </row>
    <row r="554" spans="1:20" x14ac:dyDescent="0.25">
      <c r="A554" s="9" t="s">
        <v>308</v>
      </c>
      <c r="B554" s="12" t="str">
        <f>LEFT(A554,5)</f>
        <v>43.14</v>
      </c>
      <c r="C554" s="103">
        <f t="shared" ref="C554:D554" si="386">C552</f>
        <v>4388</v>
      </c>
      <c r="D554" s="99">
        <f t="shared" si="386"/>
        <v>400</v>
      </c>
      <c r="E554" s="35">
        <f>E552</f>
        <v>4054.02</v>
      </c>
      <c r="F554" s="35">
        <f t="shared" ref="F554:P554" si="387">F552</f>
        <v>0</v>
      </c>
      <c r="G554" s="35">
        <f t="shared" si="387"/>
        <v>4054.02</v>
      </c>
      <c r="H554" s="35">
        <f t="shared" si="387"/>
        <v>0</v>
      </c>
      <c r="I554" s="35">
        <f t="shared" si="387"/>
        <v>0</v>
      </c>
      <c r="J554" s="35">
        <f t="shared" si="387"/>
        <v>0</v>
      </c>
      <c r="K554" s="35">
        <f t="shared" si="387"/>
        <v>0</v>
      </c>
      <c r="L554" s="35">
        <f t="shared" si="387"/>
        <v>0</v>
      </c>
      <c r="M554" s="35">
        <f t="shared" si="387"/>
        <v>0</v>
      </c>
      <c r="N554" s="35">
        <f t="shared" si="387"/>
        <v>4054.02</v>
      </c>
      <c r="O554" s="35">
        <f t="shared" si="387"/>
        <v>0</v>
      </c>
      <c r="P554" s="35">
        <f t="shared" si="387"/>
        <v>4054.02</v>
      </c>
    </row>
    <row r="555" spans="1:20" x14ac:dyDescent="0.25">
      <c r="E555" s="34"/>
      <c r="F555" s="34"/>
      <c r="G555" s="34">
        <f t="shared" si="373"/>
        <v>0</v>
      </c>
      <c r="H555" s="34"/>
      <c r="I555" s="34"/>
      <c r="J555" s="34">
        <f t="shared" si="369"/>
        <v>0</v>
      </c>
      <c r="K555" s="34"/>
      <c r="L555" s="34"/>
      <c r="M555" s="34">
        <f t="shared" si="370"/>
        <v>0</v>
      </c>
      <c r="N555" s="34">
        <f t="shared" si="374"/>
        <v>0</v>
      </c>
      <c r="O555" s="34">
        <f t="shared" si="375"/>
        <v>0</v>
      </c>
      <c r="P555" s="34"/>
    </row>
    <row r="556" spans="1:20" x14ac:dyDescent="0.25">
      <c r="A556" s="8" t="s">
        <v>309</v>
      </c>
      <c r="B556" s="4" t="str">
        <f>LEFT(A556,4)</f>
        <v>5903</v>
      </c>
      <c r="C556" s="102">
        <v>22000</v>
      </c>
      <c r="D556" s="98">
        <v>3600</v>
      </c>
      <c r="E556" s="34">
        <f>VLOOKUP($B556,Town_Sage!$A$5:$D$399,3,0)</f>
        <v>17896.18</v>
      </c>
      <c r="F556" s="34">
        <f>VLOOKUP($B556,Town_Sage!$A$5:$D$399,4,0)</f>
        <v>0</v>
      </c>
      <c r="G556" s="34">
        <f t="shared" si="373"/>
        <v>17896.18</v>
      </c>
      <c r="H556" s="34"/>
      <c r="I556" s="34"/>
      <c r="J556" s="34">
        <f t="shared" si="369"/>
        <v>0</v>
      </c>
      <c r="K556" s="34"/>
      <c r="L556" s="34"/>
      <c r="M556" s="34">
        <f t="shared" si="370"/>
        <v>0</v>
      </c>
      <c r="N556" s="34">
        <f t="shared" si="374"/>
        <v>17896.18</v>
      </c>
      <c r="O556" s="34">
        <f t="shared" si="375"/>
        <v>0</v>
      </c>
      <c r="P556" s="34">
        <f t="shared" si="379"/>
        <v>17896.18</v>
      </c>
      <c r="R556" s="4">
        <f>1802*12</f>
        <v>21624</v>
      </c>
      <c r="S556" s="4">
        <f>R556*1.0125</f>
        <v>21894.3</v>
      </c>
      <c r="T556" s="107">
        <v>0.05</v>
      </c>
    </row>
    <row r="557" spans="1:20" x14ac:dyDescent="0.25">
      <c r="A557" s="8" t="s">
        <v>5</v>
      </c>
      <c r="C557" s="103">
        <f t="shared" ref="C557:D557" si="388">C556</f>
        <v>22000</v>
      </c>
      <c r="D557" s="99">
        <f t="shared" si="388"/>
        <v>3600</v>
      </c>
      <c r="E557" s="35">
        <f>E556</f>
        <v>17896.18</v>
      </c>
      <c r="F557" s="35">
        <f t="shared" ref="F557:P557" si="389">F556</f>
        <v>0</v>
      </c>
      <c r="G557" s="35">
        <f t="shared" si="389"/>
        <v>17896.18</v>
      </c>
      <c r="H557" s="35">
        <f t="shared" si="389"/>
        <v>0</v>
      </c>
      <c r="I557" s="35">
        <f t="shared" si="389"/>
        <v>0</v>
      </c>
      <c r="J557" s="35">
        <f t="shared" si="389"/>
        <v>0</v>
      </c>
      <c r="K557" s="35">
        <f t="shared" si="389"/>
        <v>0</v>
      </c>
      <c r="L557" s="35">
        <f t="shared" si="389"/>
        <v>0</v>
      </c>
      <c r="M557" s="35">
        <f t="shared" si="389"/>
        <v>0</v>
      </c>
      <c r="N557" s="35">
        <f t="shared" si="389"/>
        <v>17896.18</v>
      </c>
      <c r="O557" s="35">
        <f t="shared" si="389"/>
        <v>0</v>
      </c>
      <c r="P557" s="35">
        <f t="shared" si="389"/>
        <v>17896.18</v>
      </c>
    </row>
    <row r="558" spans="1:20" x14ac:dyDescent="0.25">
      <c r="C558" s="104"/>
      <c r="D558" s="100"/>
      <c r="E558" s="34"/>
      <c r="F558" s="34"/>
      <c r="G558" s="34">
        <f t="shared" si="373"/>
        <v>0</v>
      </c>
      <c r="H558" s="34"/>
      <c r="I558" s="34"/>
      <c r="J558" s="34">
        <f t="shared" si="369"/>
        <v>0</v>
      </c>
      <c r="K558" s="34"/>
      <c r="L558" s="34"/>
      <c r="M558" s="34">
        <f t="shared" si="370"/>
        <v>0</v>
      </c>
      <c r="N558" s="34">
        <f t="shared" si="374"/>
        <v>0</v>
      </c>
      <c r="O558" s="34">
        <f t="shared" si="375"/>
        <v>0</v>
      </c>
      <c r="P558" s="34"/>
    </row>
    <row r="559" spans="1:20" x14ac:dyDescent="0.25">
      <c r="A559" s="9" t="s">
        <v>310</v>
      </c>
      <c r="B559" s="12" t="str">
        <f>LEFT(A559,5)</f>
        <v>43.21</v>
      </c>
      <c r="C559" s="103">
        <f t="shared" ref="C559:D559" si="390">C557</f>
        <v>22000</v>
      </c>
      <c r="D559" s="99">
        <f t="shared" si="390"/>
        <v>3600</v>
      </c>
      <c r="E559" s="35">
        <f>E557</f>
        <v>17896.18</v>
      </c>
      <c r="F559" s="35">
        <f t="shared" ref="F559:P559" si="391">F557</f>
        <v>0</v>
      </c>
      <c r="G559" s="35">
        <f t="shared" si="391"/>
        <v>17896.18</v>
      </c>
      <c r="H559" s="35">
        <f t="shared" si="391"/>
        <v>0</v>
      </c>
      <c r="I559" s="35">
        <f t="shared" si="391"/>
        <v>0</v>
      </c>
      <c r="J559" s="35">
        <f t="shared" si="391"/>
        <v>0</v>
      </c>
      <c r="K559" s="35">
        <f t="shared" si="391"/>
        <v>0</v>
      </c>
      <c r="L559" s="35">
        <f t="shared" si="391"/>
        <v>0</v>
      </c>
      <c r="M559" s="35">
        <f t="shared" si="391"/>
        <v>0</v>
      </c>
      <c r="N559" s="35">
        <f t="shared" si="391"/>
        <v>17896.18</v>
      </c>
      <c r="O559" s="35">
        <f t="shared" si="391"/>
        <v>0</v>
      </c>
      <c r="P559" s="35">
        <f t="shared" si="391"/>
        <v>17896.18</v>
      </c>
    </row>
    <row r="560" spans="1:20" x14ac:dyDescent="0.25">
      <c r="E560" s="34"/>
      <c r="F560" s="34"/>
      <c r="G560" s="34">
        <f t="shared" si="373"/>
        <v>0</v>
      </c>
      <c r="H560" s="34"/>
      <c r="I560" s="34"/>
      <c r="J560" s="34">
        <f t="shared" si="369"/>
        <v>0</v>
      </c>
      <c r="K560" s="34"/>
      <c r="L560" s="34"/>
      <c r="M560" s="34">
        <f t="shared" si="370"/>
        <v>0</v>
      </c>
      <c r="N560" s="34">
        <f t="shared" si="374"/>
        <v>0</v>
      </c>
      <c r="O560" s="34">
        <f t="shared" si="375"/>
        <v>0</v>
      </c>
      <c r="P560" s="34"/>
    </row>
    <row r="561" spans="1:20" x14ac:dyDescent="0.25">
      <c r="A561" s="8" t="s">
        <v>311</v>
      </c>
      <c r="B561" s="4" t="str">
        <f>LEFT(A561,4)</f>
        <v>5909</v>
      </c>
      <c r="C561" s="102">
        <v>63775</v>
      </c>
      <c r="D561" s="98">
        <v>11990</v>
      </c>
      <c r="E561" s="34">
        <f>VLOOKUP($B561,Town_Sage!$A$5:$D$399,3,0)</f>
        <v>48509.67</v>
      </c>
      <c r="F561" s="34">
        <f>VLOOKUP($B561,Town_Sage!$A$5:$D$399,4,0)</f>
        <v>0</v>
      </c>
      <c r="G561" s="34">
        <f t="shared" si="373"/>
        <v>48509.67</v>
      </c>
      <c r="H561" s="34"/>
      <c r="I561" s="34"/>
      <c r="J561" s="34">
        <f t="shared" si="369"/>
        <v>0</v>
      </c>
      <c r="K561" s="34"/>
      <c r="L561" s="34"/>
      <c r="M561" s="34">
        <f t="shared" si="370"/>
        <v>0</v>
      </c>
      <c r="N561" s="34">
        <f t="shared" si="374"/>
        <v>48509.67</v>
      </c>
      <c r="O561" s="34">
        <f t="shared" si="375"/>
        <v>0</v>
      </c>
      <c r="P561" s="34">
        <f t="shared" si="379"/>
        <v>48509.67</v>
      </c>
      <c r="R561" s="4" t="s">
        <v>2141</v>
      </c>
      <c r="T561" s="4">
        <f>57977*1.1</f>
        <v>63774.700000000004</v>
      </c>
    </row>
    <row r="562" spans="1:20" x14ac:dyDescent="0.25">
      <c r="A562" s="8" t="s">
        <v>5</v>
      </c>
      <c r="C562" s="103">
        <f t="shared" ref="C562:D562" si="392">C561</f>
        <v>63775</v>
      </c>
      <c r="D562" s="99">
        <f t="shared" si="392"/>
        <v>11990</v>
      </c>
      <c r="E562" s="35">
        <f>E561</f>
        <v>48509.67</v>
      </c>
      <c r="F562" s="35">
        <f t="shared" ref="F562:P562" si="393">F561</f>
        <v>0</v>
      </c>
      <c r="G562" s="35">
        <f t="shared" si="393"/>
        <v>48509.67</v>
      </c>
      <c r="H562" s="35">
        <f t="shared" si="393"/>
        <v>0</v>
      </c>
      <c r="I562" s="35">
        <f t="shared" si="393"/>
        <v>0</v>
      </c>
      <c r="J562" s="35">
        <f t="shared" si="393"/>
        <v>0</v>
      </c>
      <c r="K562" s="35">
        <f t="shared" si="393"/>
        <v>0</v>
      </c>
      <c r="L562" s="35">
        <f t="shared" si="393"/>
        <v>0</v>
      </c>
      <c r="M562" s="35">
        <f t="shared" si="393"/>
        <v>0</v>
      </c>
      <c r="N562" s="35">
        <f t="shared" si="393"/>
        <v>48509.67</v>
      </c>
      <c r="O562" s="35">
        <f t="shared" si="393"/>
        <v>0</v>
      </c>
      <c r="P562" s="35">
        <f t="shared" si="393"/>
        <v>48509.67</v>
      </c>
      <c r="R562" s="4">
        <v>60500</v>
      </c>
      <c r="S562" s="98">
        <f>R562-P561</f>
        <v>11990.330000000002</v>
      </c>
    </row>
    <row r="563" spans="1:20" x14ac:dyDescent="0.25">
      <c r="C563" s="104"/>
      <c r="D563" s="100"/>
      <c r="E563" s="34"/>
      <c r="F563" s="34"/>
      <c r="G563" s="34">
        <f t="shared" si="373"/>
        <v>0</v>
      </c>
      <c r="H563" s="34"/>
      <c r="I563" s="34"/>
      <c r="J563" s="34">
        <f t="shared" si="369"/>
        <v>0</v>
      </c>
      <c r="K563" s="34"/>
      <c r="L563" s="34"/>
      <c r="M563" s="34">
        <f t="shared" si="370"/>
        <v>0</v>
      </c>
      <c r="N563" s="34">
        <f t="shared" si="374"/>
        <v>0</v>
      </c>
      <c r="O563" s="34">
        <f t="shared" si="375"/>
        <v>0</v>
      </c>
      <c r="P563" s="34"/>
    </row>
    <row r="564" spans="1:20" x14ac:dyDescent="0.25">
      <c r="A564" s="9" t="s">
        <v>312</v>
      </c>
      <c r="B564" s="12" t="str">
        <f>LEFT(A564,5)</f>
        <v>43.28</v>
      </c>
      <c r="C564" s="103">
        <f t="shared" ref="C564:D564" si="394">C562</f>
        <v>63775</v>
      </c>
      <c r="D564" s="99">
        <f t="shared" si="394"/>
        <v>11990</v>
      </c>
      <c r="E564" s="35">
        <f>E562</f>
        <v>48509.67</v>
      </c>
      <c r="F564" s="35">
        <f t="shared" ref="F564:P564" si="395">F562</f>
        <v>0</v>
      </c>
      <c r="G564" s="35">
        <f t="shared" si="395"/>
        <v>48509.67</v>
      </c>
      <c r="H564" s="35">
        <f t="shared" si="395"/>
        <v>0</v>
      </c>
      <c r="I564" s="35">
        <f t="shared" si="395"/>
        <v>0</v>
      </c>
      <c r="J564" s="35">
        <f t="shared" si="395"/>
        <v>0</v>
      </c>
      <c r="K564" s="35">
        <f t="shared" si="395"/>
        <v>0</v>
      </c>
      <c r="L564" s="35">
        <f t="shared" si="395"/>
        <v>0</v>
      </c>
      <c r="M564" s="35">
        <f t="shared" si="395"/>
        <v>0</v>
      </c>
      <c r="N564" s="35">
        <f t="shared" si="395"/>
        <v>48509.67</v>
      </c>
      <c r="O564" s="35">
        <f t="shared" si="395"/>
        <v>0</v>
      </c>
      <c r="P564" s="35">
        <f t="shared" si="395"/>
        <v>48509.67</v>
      </c>
    </row>
    <row r="565" spans="1:20" x14ac:dyDescent="0.25">
      <c r="E565" s="34"/>
      <c r="F565" s="34"/>
      <c r="G565" s="34">
        <f t="shared" si="373"/>
        <v>0</v>
      </c>
      <c r="H565" s="34"/>
      <c r="I565" s="34"/>
      <c r="J565" s="34">
        <f t="shared" si="369"/>
        <v>0</v>
      </c>
      <c r="K565" s="34"/>
      <c r="L565" s="34"/>
      <c r="M565" s="34">
        <f t="shared" si="370"/>
        <v>0</v>
      </c>
      <c r="N565" s="34">
        <f t="shared" si="374"/>
        <v>0</v>
      </c>
      <c r="O565" s="34">
        <f t="shared" si="375"/>
        <v>0</v>
      </c>
      <c r="P565" s="34"/>
    </row>
    <row r="566" spans="1:20" x14ac:dyDescent="0.25">
      <c r="A566" s="8" t="s">
        <v>313</v>
      </c>
      <c r="B566" s="4" t="str">
        <f>LEFT(A566,4)</f>
        <v>5348</v>
      </c>
      <c r="C566" s="102">
        <v>3000</v>
      </c>
      <c r="D566" s="98">
        <v>300</v>
      </c>
      <c r="E566" s="34">
        <f>VLOOKUP($B566,Town_Sage!$A$5:$D$399,3,0)</f>
        <v>2291.87</v>
      </c>
      <c r="F566" s="34">
        <f>VLOOKUP($B566,Town_Sage!$A$5:$D$399,4,0)</f>
        <v>0</v>
      </c>
      <c r="G566" s="34">
        <f t="shared" si="373"/>
        <v>2291.87</v>
      </c>
      <c r="H566" s="34"/>
      <c r="I566" s="34"/>
      <c r="J566" s="34">
        <f t="shared" si="369"/>
        <v>0</v>
      </c>
      <c r="K566" s="34"/>
      <c r="L566" s="34"/>
      <c r="M566" s="34">
        <f t="shared" si="370"/>
        <v>0</v>
      </c>
      <c r="N566" s="34">
        <f t="shared" si="374"/>
        <v>2291.87</v>
      </c>
      <c r="O566" s="34">
        <f t="shared" si="375"/>
        <v>0</v>
      </c>
      <c r="P566" s="34">
        <f t="shared" si="379"/>
        <v>2291.87</v>
      </c>
    </row>
    <row r="567" spans="1:20" x14ac:dyDescent="0.25">
      <c r="A567" s="8" t="s">
        <v>314</v>
      </c>
      <c r="B567" s="4" t="str">
        <f>LEFT(A567,4)</f>
        <v>5356</v>
      </c>
      <c r="C567" s="102">
        <v>4000</v>
      </c>
      <c r="D567" s="98">
        <v>1000</v>
      </c>
      <c r="E567" s="34">
        <f>VLOOKUP($B567,Town_Sage!$A$5:$D$399,3,0)</f>
        <v>2005.78</v>
      </c>
      <c r="F567" s="34">
        <f>VLOOKUP($B567,Town_Sage!$A$5:$D$399,4,0)</f>
        <v>0</v>
      </c>
      <c r="G567" s="34">
        <f t="shared" si="373"/>
        <v>2005.78</v>
      </c>
      <c r="H567" s="34"/>
      <c r="I567" s="34"/>
      <c r="J567" s="34">
        <f t="shared" si="369"/>
        <v>0</v>
      </c>
      <c r="K567" s="34"/>
      <c r="L567" s="34"/>
      <c r="M567" s="34">
        <f t="shared" si="370"/>
        <v>0</v>
      </c>
      <c r="N567" s="34">
        <f t="shared" si="374"/>
        <v>2005.78</v>
      </c>
      <c r="O567" s="34">
        <f t="shared" si="375"/>
        <v>0</v>
      </c>
      <c r="P567" s="34">
        <f t="shared" si="379"/>
        <v>2005.78</v>
      </c>
    </row>
    <row r="568" spans="1:20" x14ac:dyDescent="0.25">
      <c r="A568" s="8" t="s">
        <v>5</v>
      </c>
      <c r="C568" s="103">
        <f t="shared" ref="C568:D568" si="396">SUM(C566:C567)</f>
        <v>7000</v>
      </c>
      <c r="D568" s="99">
        <f t="shared" si="396"/>
        <v>1300</v>
      </c>
      <c r="E568" s="35">
        <f>SUM(E566:E567)</f>
        <v>4297.6499999999996</v>
      </c>
      <c r="F568" s="35">
        <f t="shared" ref="F568:P568" si="397">SUM(F566:F567)</f>
        <v>0</v>
      </c>
      <c r="G568" s="35">
        <f t="shared" si="397"/>
        <v>4297.6499999999996</v>
      </c>
      <c r="H568" s="35">
        <f t="shared" si="397"/>
        <v>0</v>
      </c>
      <c r="I568" s="35">
        <f t="shared" si="397"/>
        <v>0</v>
      </c>
      <c r="J568" s="35">
        <f t="shared" si="397"/>
        <v>0</v>
      </c>
      <c r="K568" s="35">
        <f t="shared" si="397"/>
        <v>0</v>
      </c>
      <c r="L568" s="35">
        <f t="shared" si="397"/>
        <v>0</v>
      </c>
      <c r="M568" s="35">
        <f t="shared" si="397"/>
        <v>0</v>
      </c>
      <c r="N568" s="35">
        <f t="shared" si="397"/>
        <v>4297.6499999999996</v>
      </c>
      <c r="O568" s="35">
        <f t="shared" si="397"/>
        <v>0</v>
      </c>
      <c r="P568" s="35">
        <f t="shared" si="397"/>
        <v>4297.6499999999996</v>
      </c>
    </row>
    <row r="569" spans="1:20" x14ac:dyDescent="0.25">
      <c r="C569" s="104"/>
      <c r="D569" s="100"/>
      <c r="E569" s="34"/>
      <c r="F569" s="34"/>
      <c r="G569" s="34">
        <f t="shared" si="373"/>
        <v>0</v>
      </c>
      <c r="H569" s="34"/>
      <c r="I569" s="34"/>
      <c r="J569" s="34">
        <f t="shared" si="369"/>
        <v>0</v>
      </c>
      <c r="K569" s="34"/>
      <c r="L569" s="34"/>
      <c r="M569" s="34">
        <f t="shared" si="370"/>
        <v>0</v>
      </c>
      <c r="N569" s="34">
        <f t="shared" si="374"/>
        <v>0</v>
      </c>
      <c r="O569" s="34">
        <f t="shared" si="375"/>
        <v>0</v>
      </c>
      <c r="P569" s="34"/>
    </row>
    <row r="570" spans="1:20" x14ac:dyDescent="0.25">
      <c r="A570" s="9" t="s">
        <v>315</v>
      </c>
      <c r="B570" s="12" t="str">
        <f>LEFT(A570,5)</f>
        <v>43.29</v>
      </c>
      <c r="C570" s="103">
        <f t="shared" ref="C570:D570" si="398">C568</f>
        <v>7000</v>
      </c>
      <c r="D570" s="99">
        <f t="shared" si="398"/>
        <v>1300</v>
      </c>
      <c r="E570" s="35">
        <f>E568</f>
        <v>4297.6499999999996</v>
      </c>
      <c r="F570" s="35">
        <f t="shared" ref="F570:P570" si="399">F568</f>
        <v>0</v>
      </c>
      <c r="G570" s="35">
        <f t="shared" si="399"/>
        <v>4297.6499999999996</v>
      </c>
      <c r="H570" s="35">
        <f t="shared" si="399"/>
        <v>0</v>
      </c>
      <c r="I570" s="35">
        <f t="shared" si="399"/>
        <v>0</v>
      </c>
      <c r="J570" s="35">
        <f t="shared" si="399"/>
        <v>0</v>
      </c>
      <c r="K570" s="35">
        <f t="shared" si="399"/>
        <v>0</v>
      </c>
      <c r="L570" s="35">
        <f t="shared" si="399"/>
        <v>0</v>
      </c>
      <c r="M570" s="35">
        <f t="shared" si="399"/>
        <v>0</v>
      </c>
      <c r="N570" s="35">
        <f t="shared" si="399"/>
        <v>4297.6499999999996</v>
      </c>
      <c r="O570" s="35">
        <f t="shared" si="399"/>
        <v>0</v>
      </c>
      <c r="P570" s="35">
        <f t="shared" si="399"/>
        <v>4297.6499999999996</v>
      </c>
    </row>
    <row r="571" spans="1:20" x14ac:dyDescent="0.25">
      <c r="E571" s="34"/>
      <c r="F571" s="34"/>
      <c r="G571" s="34">
        <f t="shared" si="373"/>
        <v>0</v>
      </c>
      <c r="H571" s="34"/>
      <c r="I571" s="34"/>
      <c r="J571" s="34">
        <f t="shared" si="369"/>
        <v>0</v>
      </c>
      <c r="K571" s="34"/>
      <c r="L571" s="34"/>
      <c r="M571" s="34">
        <f t="shared" si="370"/>
        <v>0</v>
      </c>
      <c r="N571" s="34">
        <f t="shared" si="374"/>
        <v>0</v>
      </c>
      <c r="O571" s="34">
        <f t="shared" si="375"/>
        <v>0</v>
      </c>
      <c r="P571" s="34"/>
    </row>
    <row r="572" spans="1:20" x14ac:dyDescent="0.25">
      <c r="A572" s="8" t="s">
        <v>316</v>
      </c>
      <c r="B572" s="4" t="str">
        <f>LEFT(A572,4)</f>
        <v>5919</v>
      </c>
      <c r="C572" s="102">
        <v>23000</v>
      </c>
      <c r="D572" s="98">
        <v>7000</v>
      </c>
      <c r="E572" s="34">
        <f>VLOOKUP($B572,Town_Sage!$A$5:$D$399,3,0)</f>
        <v>13250.34</v>
      </c>
      <c r="F572" s="34">
        <f>VLOOKUP($B572,Town_Sage!$A$5:$D$399,4,0)</f>
        <v>0</v>
      </c>
      <c r="G572" s="34">
        <f t="shared" si="373"/>
        <v>13250.34</v>
      </c>
      <c r="H572" s="34"/>
      <c r="I572" s="34"/>
      <c r="J572" s="34">
        <f t="shared" si="369"/>
        <v>0</v>
      </c>
      <c r="K572" s="34"/>
      <c r="L572" s="34"/>
      <c r="M572" s="34">
        <f t="shared" si="370"/>
        <v>0</v>
      </c>
      <c r="N572" s="34">
        <f t="shared" si="374"/>
        <v>13250.34</v>
      </c>
      <c r="O572" s="34">
        <f t="shared" si="375"/>
        <v>0</v>
      </c>
      <c r="P572" s="34">
        <f t="shared" si="379"/>
        <v>13250.34</v>
      </c>
    </row>
    <row r="573" spans="1:20" x14ac:dyDescent="0.25">
      <c r="A573" s="8" t="s">
        <v>5</v>
      </c>
      <c r="C573" s="103">
        <f t="shared" ref="C573:D573" si="400">C572</f>
        <v>23000</v>
      </c>
      <c r="D573" s="99">
        <f t="shared" si="400"/>
        <v>7000</v>
      </c>
      <c r="E573" s="35">
        <f>E572</f>
        <v>13250.34</v>
      </c>
      <c r="F573" s="35">
        <f t="shared" ref="F573:P573" si="401">F572</f>
        <v>0</v>
      </c>
      <c r="G573" s="35">
        <f t="shared" si="401"/>
        <v>13250.34</v>
      </c>
      <c r="H573" s="35">
        <f t="shared" si="401"/>
        <v>0</v>
      </c>
      <c r="I573" s="35">
        <f t="shared" si="401"/>
        <v>0</v>
      </c>
      <c r="J573" s="35">
        <f t="shared" si="401"/>
        <v>0</v>
      </c>
      <c r="K573" s="35">
        <f t="shared" si="401"/>
        <v>0</v>
      </c>
      <c r="L573" s="35">
        <f t="shared" si="401"/>
        <v>0</v>
      </c>
      <c r="M573" s="35">
        <f t="shared" si="401"/>
        <v>0</v>
      </c>
      <c r="N573" s="35">
        <f t="shared" si="401"/>
        <v>13250.34</v>
      </c>
      <c r="O573" s="35">
        <f t="shared" si="401"/>
        <v>0</v>
      </c>
      <c r="P573" s="35">
        <f t="shared" si="401"/>
        <v>13250.34</v>
      </c>
    </row>
    <row r="574" spans="1:20" x14ac:dyDescent="0.25">
      <c r="C574" s="104"/>
      <c r="D574" s="100"/>
      <c r="E574" s="34"/>
      <c r="F574" s="34"/>
      <c r="G574" s="34">
        <f t="shared" si="373"/>
        <v>0</v>
      </c>
      <c r="H574" s="34"/>
      <c r="I574" s="34"/>
      <c r="J574" s="34">
        <f t="shared" si="369"/>
        <v>0</v>
      </c>
      <c r="K574" s="34"/>
      <c r="L574" s="34"/>
      <c r="M574" s="34">
        <f t="shared" si="370"/>
        <v>0</v>
      </c>
      <c r="N574" s="34">
        <f t="shared" si="374"/>
        <v>0</v>
      </c>
      <c r="O574" s="34">
        <f t="shared" si="375"/>
        <v>0</v>
      </c>
      <c r="P574" s="34"/>
    </row>
    <row r="575" spans="1:20" x14ac:dyDescent="0.25">
      <c r="A575" s="9" t="s">
        <v>317</v>
      </c>
      <c r="B575" s="12" t="str">
        <f>LEFT(A575,5)</f>
        <v>43.30</v>
      </c>
      <c r="C575" s="103">
        <f t="shared" ref="C575:D575" si="402">C573</f>
        <v>23000</v>
      </c>
      <c r="D575" s="99">
        <f t="shared" si="402"/>
        <v>7000</v>
      </c>
      <c r="E575" s="35">
        <f>E573</f>
        <v>13250.34</v>
      </c>
      <c r="F575" s="35">
        <f t="shared" ref="F575:P575" si="403">F573</f>
        <v>0</v>
      </c>
      <c r="G575" s="35">
        <f t="shared" si="403"/>
        <v>13250.34</v>
      </c>
      <c r="H575" s="35">
        <f t="shared" si="403"/>
        <v>0</v>
      </c>
      <c r="I575" s="35">
        <f t="shared" si="403"/>
        <v>0</v>
      </c>
      <c r="J575" s="35">
        <f t="shared" si="403"/>
        <v>0</v>
      </c>
      <c r="K575" s="35">
        <f t="shared" si="403"/>
        <v>0</v>
      </c>
      <c r="L575" s="35">
        <f t="shared" si="403"/>
        <v>0</v>
      </c>
      <c r="M575" s="35">
        <f t="shared" si="403"/>
        <v>0</v>
      </c>
      <c r="N575" s="35">
        <f t="shared" si="403"/>
        <v>13250.34</v>
      </c>
      <c r="O575" s="35">
        <f t="shared" si="403"/>
        <v>0</v>
      </c>
      <c r="P575" s="35">
        <f t="shared" si="403"/>
        <v>13250.34</v>
      </c>
    </row>
    <row r="576" spans="1:20" x14ac:dyDescent="0.25">
      <c r="E576" s="34"/>
      <c r="F576" s="34"/>
      <c r="G576" s="34">
        <f t="shared" si="373"/>
        <v>0</v>
      </c>
      <c r="H576" s="34"/>
      <c r="I576" s="34"/>
      <c r="J576" s="34">
        <f t="shared" si="369"/>
        <v>0</v>
      </c>
      <c r="K576" s="34"/>
      <c r="L576" s="34"/>
      <c r="M576" s="34">
        <f t="shared" si="370"/>
        <v>0</v>
      </c>
      <c r="N576" s="34">
        <f t="shared" si="374"/>
        <v>0</v>
      </c>
      <c r="O576" s="34">
        <f t="shared" si="375"/>
        <v>0</v>
      </c>
      <c r="P576" s="34"/>
    </row>
    <row r="577" spans="1:17" x14ac:dyDescent="0.25">
      <c r="A577" s="114" t="s">
        <v>2112</v>
      </c>
      <c r="B577" s="86" t="str">
        <f>LEFT(A577,4)</f>
        <v>5911</v>
      </c>
      <c r="C577" s="105">
        <v>15814</v>
      </c>
      <c r="D577" s="105">
        <v>15098</v>
      </c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  <c r="O577" s="111"/>
      <c r="P577" s="111">
        <f t="shared" si="379"/>
        <v>0</v>
      </c>
      <c r="Q577" s="86"/>
    </row>
    <row r="578" spans="1:17" x14ac:dyDescent="0.25">
      <c r="A578" s="112" t="s">
        <v>2109</v>
      </c>
      <c r="B578" s="115" t="str">
        <f>LEFT(A578,5)</f>
        <v>43.35</v>
      </c>
      <c r="C578" s="113">
        <f>C577</f>
        <v>15814</v>
      </c>
      <c r="D578" s="113">
        <f t="shared" ref="D578:P578" si="404">D577</f>
        <v>15098</v>
      </c>
      <c r="E578" s="113">
        <f t="shared" si="404"/>
        <v>0</v>
      </c>
      <c r="F578" s="113">
        <f t="shared" si="404"/>
        <v>0</v>
      </c>
      <c r="G578" s="113">
        <f t="shared" si="404"/>
        <v>0</v>
      </c>
      <c r="H578" s="113">
        <f t="shared" si="404"/>
        <v>0</v>
      </c>
      <c r="I578" s="113">
        <f t="shared" si="404"/>
        <v>0</v>
      </c>
      <c r="J578" s="113">
        <f t="shared" si="404"/>
        <v>0</v>
      </c>
      <c r="K578" s="113">
        <f t="shared" si="404"/>
        <v>0</v>
      </c>
      <c r="L578" s="113">
        <f t="shared" si="404"/>
        <v>0</v>
      </c>
      <c r="M578" s="113">
        <f t="shared" si="404"/>
        <v>0</v>
      </c>
      <c r="N578" s="113">
        <f t="shared" si="404"/>
        <v>0</v>
      </c>
      <c r="O578" s="113">
        <f t="shared" si="404"/>
        <v>0</v>
      </c>
      <c r="P578" s="113">
        <f t="shared" si="404"/>
        <v>0</v>
      </c>
      <c r="Q578" s="86"/>
    </row>
    <row r="579" spans="1:17" x14ac:dyDescent="0.25"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7" x14ac:dyDescent="0.25"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7" x14ac:dyDescent="0.25">
      <c r="A581" s="8" t="s">
        <v>318</v>
      </c>
      <c r="B581" s="4" t="str">
        <f>LEFT(A581,4)</f>
        <v>5670</v>
      </c>
      <c r="C581" s="102">
        <v>350</v>
      </c>
      <c r="D581" s="98">
        <v>0</v>
      </c>
      <c r="E581" s="34">
        <f>VLOOKUP($B581,Town_Sage!$A$5:$D$399,3,0)</f>
        <v>318</v>
      </c>
      <c r="F581" s="34">
        <f>VLOOKUP($B581,Town_Sage!$A$5:$D$399,4,0)</f>
        <v>0</v>
      </c>
      <c r="G581" s="34">
        <f t="shared" si="373"/>
        <v>318</v>
      </c>
      <c r="H581" s="34"/>
      <c r="I581" s="34"/>
      <c r="J581" s="34">
        <f t="shared" si="369"/>
        <v>0</v>
      </c>
      <c r="K581" s="34"/>
      <c r="L581" s="34"/>
      <c r="M581" s="34">
        <f t="shared" si="370"/>
        <v>0</v>
      </c>
      <c r="N581" s="34">
        <f t="shared" si="374"/>
        <v>318</v>
      </c>
      <c r="O581" s="34">
        <f t="shared" si="375"/>
        <v>0</v>
      </c>
      <c r="P581" s="34">
        <f t="shared" si="379"/>
        <v>318</v>
      </c>
    </row>
    <row r="582" spans="1:17" x14ac:dyDescent="0.25">
      <c r="A582" s="8" t="s">
        <v>319</v>
      </c>
      <c r="B582" s="4" t="str">
        <f>LEFT(A582,4)</f>
        <v>5762</v>
      </c>
      <c r="C582" s="102">
        <v>0</v>
      </c>
      <c r="D582" s="98">
        <v>0</v>
      </c>
      <c r="E582" s="34">
        <f>VLOOKUP($B582,Town_Sage!$A$5:$D$399,3,0)</f>
        <v>0</v>
      </c>
      <c r="F582" s="34">
        <f>VLOOKUP($B582,Town_Sage!$A$5:$D$399,4,0)</f>
        <v>0</v>
      </c>
      <c r="G582" s="34">
        <f t="shared" si="373"/>
        <v>0</v>
      </c>
      <c r="H582" s="34"/>
      <c r="I582" s="34"/>
      <c r="J582" s="34">
        <f t="shared" si="369"/>
        <v>0</v>
      </c>
      <c r="K582" s="34"/>
      <c r="L582" s="34"/>
      <c r="M582" s="34">
        <f t="shared" si="370"/>
        <v>0</v>
      </c>
      <c r="N582" s="34">
        <f t="shared" si="374"/>
        <v>0</v>
      </c>
      <c r="O582" s="34">
        <f t="shared" si="375"/>
        <v>0</v>
      </c>
      <c r="P582" s="34">
        <f t="shared" si="379"/>
        <v>0</v>
      </c>
    </row>
    <row r="583" spans="1:17" x14ac:dyDescent="0.25">
      <c r="A583" s="8" t="s">
        <v>320</v>
      </c>
      <c r="B583" s="4" t="str">
        <f>LEFT(A583,4)</f>
        <v>5763</v>
      </c>
      <c r="C583" s="102">
        <v>1000</v>
      </c>
      <c r="E583" s="34">
        <f>VLOOKUP($B583,Town_Sage!$A$5:$D$399,3,0)</f>
        <v>0</v>
      </c>
      <c r="F583" s="34">
        <f>VLOOKUP($B583,Town_Sage!$A$5:$D$399,4,0)</f>
        <v>0</v>
      </c>
      <c r="G583" s="34">
        <f t="shared" si="373"/>
        <v>0</v>
      </c>
      <c r="H583" s="34"/>
      <c r="I583" s="34"/>
      <c r="J583" s="34">
        <f t="shared" si="369"/>
        <v>0</v>
      </c>
      <c r="K583" s="34"/>
      <c r="L583" s="34"/>
      <c r="M583" s="34">
        <f t="shared" si="370"/>
        <v>0</v>
      </c>
      <c r="N583" s="34">
        <f t="shared" si="374"/>
        <v>0</v>
      </c>
      <c r="O583" s="34">
        <f t="shared" si="375"/>
        <v>0</v>
      </c>
      <c r="P583" s="34">
        <f t="shared" si="379"/>
        <v>0</v>
      </c>
    </row>
    <row r="584" spans="1:17" x14ac:dyDescent="0.25">
      <c r="A584" s="8" t="s">
        <v>321</v>
      </c>
      <c r="B584" s="4" t="str">
        <f>LEFT(A584,4)</f>
        <v>5768</v>
      </c>
      <c r="C584" s="102">
        <v>500</v>
      </c>
      <c r="E584" s="34">
        <f>VLOOKUP($B584,Town_Sage!$A$5:$D$399,3,0)</f>
        <v>0</v>
      </c>
      <c r="F584" s="34">
        <f>VLOOKUP($B584,Town_Sage!$A$5:$D$399,4,0)</f>
        <v>0</v>
      </c>
      <c r="G584" s="34">
        <f t="shared" si="373"/>
        <v>0</v>
      </c>
      <c r="H584" s="34"/>
      <c r="I584" s="34"/>
      <c r="J584" s="34">
        <f t="shared" si="369"/>
        <v>0</v>
      </c>
      <c r="K584" s="34"/>
      <c r="L584" s="34"/>
      <c r="M584" s="34">
        <f t="shared" si="370"/>
        <v>0</v>
      </c>
      <c r="N584" s="34">
        <f t="shared" si="374"/>
        <v>0</v>
      </c>
      <c r="O584" s="34">
        <f t="shared" si="375"/>
        <v>0</v>
      </c>
      <c r="P584" s="34">
        <f t="shared" si="379"/>
        <v>0</v>
      </c>
    </row>
    <row r="585" spans="1:17" x14ac:dyDescent="0.25">
      <c r="A585" s="8" t="s">
        <v>340</v>
      </c>
      <c r="B585" s="4" t="str">
        <f>LEFT(A585,4)</f>
        <v>5633</v>
      </c>
      <c r="C585" s="102">
        <v>6500</v>
      </c>
      <c r="E585" s="34">
        <f>VLOOKUP($B585,Town_Sage!$A$5:$D$399,3,0)</f>
        <v>5110.18</v>
      </c>
      <c r="F585" s="34">
        <f>VLOOKUP($B585,Town_Sage!$A$5:$D$399,4,0)</f>
        <v>0</v>
      </c>
      <c r="G585" s="34">
        <f t="shared" ref="G585" si="405">IF(E585&gt;0,E585,-F585)</f>
        <v>5110.18</v>
      </c>
      <c r="H585" s="34"/>
      <c r="I585" s="34"/>
      <c r="J585" s="34">
        <f t="shared" si="369"/>
        <v>0</v>
      </c>
      <c r="K585" s="34"/>
      <c r="L585" s="34"/>
      <c r="M585" s="34"/>
      <c r="N585" s="34">
        <f t="shared" si="374"/>
        <v>5110.18</v>
      </c>
      <c r="O585" s="34"/>
      <c r="P585" s="34">
        <f t="shared" si="379"/>
        <v>5110.18</v>
      </c>
    </row>
    <row r="586" spans="1:17" x14ac:dyDescent="0.25">
      <c r="A586" s="8" t="s">
        <v>5</v>
      </c>
      <c r="C586" s="103">
        <f t="shared" ref="C586:D586" si="406">SUM(C581:C585)</f>
        <v>8350</v>
      </c>
      <c r="D586" s="99">
        <f t="shared" si="406"/>
        <v>0</v>
      </c>
      <c r="E586" s="35">
        <f>SUM(E581:E585)</f>
        <v>5428.18</v>
      </c>
      <c r="F586" s="35">
        <f>SUM(F581:F585)</f>
        <v>0</v>
      </c>
      <c r="G586" s="35">
        <f t="shared" ref="G586:P586" si="407">SUM(G581:G585)</f>
        <v>5428.18</v>
      </c>
      <c r="H586" s="35">
        <f t="shared" si="407"/>
        <v>0</v>
      </c>
      <c r="I586" s="35">
        <f t="shared" si="407"/>
        <v>0</v>
      </c>
      <c r="J586" s="35">
        <f t="shared" si="407"/>
        <v>0</v>
      </c>
      <c r="K586" s="35">
        <f t="shared" si="407"/>
        <v>0</v>
      </c>
      <c r="L586" s="35">
        <f t="shared" si="407"/>
        <v>0</v>
      </c>
      <c r="M586" s="35">
        <f t="shared" si="407"/>
        <v>0</v>
      </c>
      <c r="N586" s="35">
        <f t="shared" si="407"/>
        <v>5428.18</v>
      </c>
      <c r="O586" s="35">
        <f t="shared" si="407"/>
        <v>0</v>
      </c>
      <c r="P586" s="35">
        <f t="shared" si="407"/>
        <v>5428.18</v>
      </c>
    </row>
    <row r="587" spans="1:17" x14ac:dyDescent="0.25">
      <c r="C587" s="104"/>
      <c r="D587" s="100"/>
      <c r="E587" s="34"/>
      <c r="F587" s="34"/>
      <c r="G587" s="34">
        <f t="shared" si="373"/>
        <v>0</v>
      </c>
      <c r="H587" s="34"/>
      <c r="I587" s="34"/>
      <c r="J587" s="34">
        <f t="shared" si="369"/>
        <v>0</v>
      </c>
      <c r="K587" s="34"/>
      <c r="L587" s="34"/>
      <c r="M587" s="34">
        <f t="shared" si="370"/>
        <v>0</v>
      </c>
      <c r="N587" s="34">
        <f t="shared" si="374"/>
        <v>0</v>
      </c>
      <c r="O587" s="34">
        <f t="shared" si="375"/>
        <v>0</v>
      </c>
      <c r="P587" s="34">
        <f t="shared" si="379"/>
        <v>0</v>
      </c>
    </row>
    <row r="588" spans="1:17" x14ac:dyDescent="0.25">
      <c r="A588" s="9" t="s">
        <v>322</v>
      </c>
      <c r="B588" s="12" t="str">
        <f>LEFT(A588,5)</f>
        <v>44.12</v>
      </c>
      <c r="C588" s="103">
        <f t="shared" ref="C588:D588" si="408">C586</f>
        <v>8350</v>
      </c>
      <c r="D588" s="99">
        <f t="shared" si="408"/>
        <v>0</v>
      </c>
      <c r="E588" s="35">
        <f>E586</f>
        <v>5428.18</v>
      </c>
      <c r="F588" s="35">
        <f t="shared" ref="F588:P588" si="409">F586</f>
        <v>0</v>
      </c>
      <c r="G588" s="35">
        <f t="shared" si="409"/>
        <v>5428.18</v>
      </c>
      <c r="H588" s="35">
        <f t="shared" si="409"/>
        <v>0</v>
      </c>
      <c r="I588" s="35">
        <f t="shared" si="409"/>
        <v>0</v>
      </c>
      <c r="J588" s="35">
        <f t="shared" si="409"/>
        <v>0</v>
      </c>
      <c r="K588" s="35">
        <f t="shared" si="409"/>
        <v>0</v>
      </c>
      <c r="L588" s="35">
        <f t="shared" si="409"/>
        <v>0</v>
      </c>
      <c r="M588" s="35">
        <f t="shared" si="409"/>
        <v>0</v>
      </c>
      <c r="N588" s="35">
        <f t="shared" si="409"/>
        <v>5428.18</v>
      </c>
      <c r="O588" s="35">
        <f t="shared" si="409"/>
        <v>0</v>
      </c>
      <c r="P588" s="35">
        <f t="shared" si="409"/>
        <v>5428.18</v>
      </c>
    </row>
    <row r="589" spans="1:17" x14ac:dyDescent="0.25">
      <c r="E589" s="34"/>
      <c r="F589" s="34"/>
      <c r="G589" s="34">
        <f t="shared" si="373"/>
        <v>0</v>
      </c>
      <c r="H589" s="34"/>
      <c r="I589" s="34"/>
      <c r="J589" s="34">
        <f t="shared" si="369"/>
        <v>0</v>
      </c>
      <c r="K589" s="34"/>
      <c r="L589" s="34"/>
      <c r="M589" s="34">
        <f t="shared" si="370"/>
        <v>0</v>
      </c>
      <c r="N589" s="34">
        <f t="shared" si="374"/>
        <v>0</v>
      </c>
      <c r="O589" s="34">
        <f t="shared" si="375"/>
        <v>0</v>
      </c>
      <c r="P589" s="34"/>
    </row>
    <row r="590" spans="1:17" x14ac:dyDescent="0.25">
      <c r="A590" s="8" t="s">
        <v>323</v>
      </c>
      <c r="B590" s="4" t="str">
        <f t="shared" ref="B590:B598" si="410">LEFT(A590,4)</f>
        <v>5502</v>
      </c>
      <c r="C590" s="102">
        <v>8000</v>
      </c>
      <c r="D590" s="98">
        <v>1000</v>
      </c>
      <c r="E590" s="34">
        <f>VLOOKUP($B590,Town_Sage!$A$5:$D$399,3,0)</f>
        <v>6590.17</v>
      </c>
      <c r="F590" s="34">
        <f>VLOOKUP($B590,Town_Sage!$A$5:$D$399,4,0)</f>
        <v>0</v>
      </c>
      <c r="G590" s="34">
        <f t="shared" si="373"/>
        <v>6590.17</v>
      </c>
      <c r="H590" s="34"/>
      <c r="I590" s="34"/>
      <c r="J590" s="34">
        <f t="shared" si="369"/>
        <v>0</v>
      </c>
      <c r="K590" s="34"/>
      <c r="L590" s="34"/>
      <c r="M590" s="34">
        <f t="shared" si="370"/>
        <v>0</v>
      </c>
      <c r="N590" s="34">
        <f t="shared" si="374"/>
        <v>6590.17</v>
      </c>
      <c r="O590" s="34">
        <f t="shared" si="375"/>
        <v>0</v>
      </c>
      <c r="P590" s="34">
        <f t="shared" si="379"/>
        <v>6590.17</v>
      </c>
    </row>
    <row r="591" spans="1:17" x14ac:dyDescent="0.25">
      <c r="A591" s="8" t="s">
        <v>324</v>
      </c>
      <c r="B591" s="4" t="str">
        <f t="shared" si="410"/>
        <v>5512</v>
      </c>
      <c r="C591" s="102">
        <v>1000</v>
      </c>
      <c r="E591" s="34">
        <f>VLOOKUP($B591,Town_Sage!$A$5:$D$399,3,0)</f>
        <v>521.70000000000005</v>
      </c>
      <c r="F591" s="34">
        <f>VLOOKUP($B591,Town_Sage!$A$5:$D$399,4,0)</f>
        <v>0</v>
      </c>
      <c r="G591" s="34">
        <f t="shared" si="373"/>
        <v>521.70000000000005</v>
      </c>
      <c r="H591" s="34"/>
      <c r="I591" s="34"/>
      <c r="J591" s="34">
        <f t="shared" si="369"/>
        <v>0</v>
      </c>
      <c r="K591" s="34"/>
      <c r="L591" s="34"/>
      <c r="M591" s="34">
        <f t="shared" si="370"/>
        <v>0</v>
      </c>
      <c r="N591" s="34">
        <f t="shared" si="374"/>
        <v>521.70000000000005</v>
      </c>
      <c r="O591" s="34">
        <f t="shared" si="375"/>
        <v>0</v>
      </c>
      <c r="P591" s="34">
        <f t="shared" si="379"/>
        <v>521.70000000000005</v>
      </c>
    </row>
    <row r="592" spans="1:17" x14ac:dyDescent="0.25">
      <c r="A592" s="8" t="s">
        <v>325</v>
      </c>
      <c r="B592" s="4" t="str">
        <f t="shared" si="410"/>
        <v>5514</v>
      </c>
      <c r="C592" s="102">
        <v>3000</v>
      </c>
      <c r="E592" s="34">
        <f>VLOOKUP($B592,Town_Sage!$A$5:$D$399,3,0)</f>
        <v>385</v>
      </c>
      <c r="F592" s="34">
        <f>VLOOKUP($B592,Town_Sage!$A$5:$D$399,4,0)</f>
        <v>0</v>
      </c>
      <c r="G592" s="34">
        <f t="shared" si="373"/>
        <v>385</v>
      </c>
      <c r="H592" s="34"/>
      <c r="I592" s="34"/>
      <c r="J592" s="34">
        <f t="shared" si="369"/>
        <v>0</v>
      </c>
      <c r="K592" s="34"/>
      <c r="L592" s="34"/>
      <c r="M592" s="34">
        <f t="shared" si="370"/>
        <v>0</v>
      </c>
      <c r="N592" s="34">
        <f t="shared" si="374"/>
        <v>385</v>
      </c>
      <c r="O592" s="34">
        <f t="shared" si="375"/>
        <v>0</v>
      </c>
      <c r="P592" s="34">
        <f t="shared" si="379"/>
        <v>385</v>
      </c>
    </row>
    <row r="593" spans="1:20" x14ac:dyDescent="0.25">
      <c r="A593" s="8" t="s">
        <v>326</v>
      </c>
      <c r="B593" s="4" t="str">
        <f t="shared" si="410"/>
        <v>5516</v>
      </c>
      <c r="C593" s="102">
        <v>5800</v>
      </c>
      <c r="D593" s="98">
        <v>2000</v>
      </c>
      <c r="E593" s="34">
        <f>VLOOKUP($B593,Town_Sage!$A$5:$D$399,3,0)</f>
        <v>3760.77</v>
      </c>
      <c r="F593" s="34">
        <f>VLOOKUP($B593,Town_Sage!$A$5:$D$399,4,0)</f>
        <v>0</v>
      </c>
      <c r="G593" s="34">
        <f t="shared" si="373"/>
        <v>3760.77</v>
      </c>
      <c r="H593" s="34"/>
      <c r="I593" s="34"/>
      <c r="J593" s="34">
        <f t="shared" si="369"/>
        <v>0</v>
      </c>
      <c r="K593" s="34"/>
      <c r="L593" s="34"/>
      <c r="M593" s="34">
        <f t="shared" si="370"/>
        <v>0</v>
      </c>
      <c r="N593" s="34">
        <f t="shared" si="374"/>
        <v>3760.77</v>
      </c>
      <c r="O593" s="34">
        <f t="shared" si="375"/>
        <v>0</v>
      </c>
      <c r="P593" s="34">
        <f t="shared" si="379"/>
        <v>3760.77</v>
      </c>
      <c r="R593" s="4">
        <f>5249*1.1</f>
        <v>5773.9000000000005</v>
      </c>
    </row>
    <row r="594" spans="1:20" x14ac:dyDescent="0.25">
      <c r="A594" s="8" t="s">
        <v>327</v>
      </c>
      <c r="B594" s="4" t="str">
        <f t="shared" si="410"/>
        <v>5522</v>
      </c>
      <c r="C594" s="105">
        <v>1000</v>
      </c>
      <c r="D594" s="98">
        <v>1000</v>
      </c>
      <c r="E594" s="34">
        <f>VLOOKUP($B594,Town_Sage!$A$5:$D$399,3,0)</f>
        <v>0</v>
      </c>
      <c r="F594" s="34">
        <f>VLOOKUP($B594,Town_Sage!$A$5:$D$399,4,0)</f>
        <v>0</v>
      </c>
      <c r="G594" s="34">
        <f t="shared" si="373"/>
        <v>0</v>
      </c>
      <c r="H594" s="34"/>
      <c r="I594" s="34"/>
      <c r="J594" s="34">
        <f t="shared" si="369"/>
        <v>0</v>
      </c>
      <c r="K594" s="34"/>
      <c r="L594" s="34"/>
      <c r="M594" s="34">
        <f t="shared" si="370"/>
        <v>0</v>
      </c>
      <c r="N594" s="34">
        <f t="shared" si="374"/>
        <v>0</v>
      </c>
      <c r="O594" s="34">
        <f t="shared" si="375"/>
        <v>0</v>
      </c>
      <c r="P594" s="111">
        <f t="shared" si="379"/>
        <v>0</v>
      </c>
    </row>
    <row r="595" spans="1:20" x14ac:dyDescent="0.25">
      <c r="A595" s="8" t="s">
        <v>328</v>
      </c>
      <c r="B595" s="4" t="str">
        <f t="shared" si="410"/>
        <v>5524</v>
      </c>
      <c r="C595" s="102">
        <v>2500</v>
      </c>
      <c r="E595" s="34">
        <f>VLOOKUP($B595,Town_Sage!$A$5:$D$399,3,0)</f>
        <v>2467.5</v>
      </c>
      <c r="F595" s="34">
        <f>VLOOKUP($B595,Town_Sage!$A$5:$D$399,4,0)</f>
        <v>0</v>
      </c>
      <c r="G595" s="34">
        <f t="shared" si="373"/>
        <v>2467.5</v>
      </c>
      <c r="H595" s="34"/>
      <c r="I595" s="34"/>
      <c r="J595" s="34">
        <f t="shared" si="369"/>
        <v>0</v>
      </c>
      <c r="K595" s="34"/>
      <c r="L595" s="34"/>
      <c r="M595" s="34">
        <f t="shared" si="370"/>
        <v>0</v>
      </c>
      <c r="N595" s="34">
        <f t="shared" si="374"/>
        <v>2467.5</v>
      </c>
      <c r="O595" s="34">
        <f t="shared" si="375"/>
        <v>0</v>
      </c>
      <c r="P595" s="34">
        <f t="shared" si="379"/>
        <v>2467.5</v>
      </c>
    </row>
    <row r="596" spans="1:20" x14ac:dyDescent="0.25">
      <c r="A596" s="8" t="s">
        <v>329</v>
      </c>
      <c r="B596" s="4" t="str">
        <f t="shared" si="410"/>
        <v>5526</v>
      </c>
      <c r="C596" s="105">
        <f>800*1.3</f>
        <v>1040</v>
      </c>
      <c r="D596" s="98">
        <v>250</v>
      </c>
      <c r="E596" s="34">
        <f>VLOOKUP($B596,Town_Sage!$A$5:$D$399,3,0)</f>
        <v>646.44000000000005</v>
      </c>
      <c r="F596" s="34">
        <f>VLOOKUP($B596,Town_Sage!$A$5:$D$399,4,0)</f>
        <v>0</v>
      </c>
      <c r="G596" s="34">
        <f t="shared" si="373"/>
        <v>646.44000000000005</v>
      </c>
      <c r="H596" s="34"/>
      <c r="I596" s="34"/>
      <c r="J596" s="34">
        <f t="shared" si="369"/>
        <v>0</v>
      </c>
      <c r="K596" s="34"/>
      <c r="L596" s="34"/>
      <c r="M596" s="34">
        <f t="shared" si="370"/>
        <v>0</v>
      </c>
      <c r="N596" s="34">
        <f t="shared" si="374"/>
        <v>646.44000000000005</v>
      </c>
      <c r="O596" s="34">
        <f t="shared" si="375"/>
        <v>0</v>
      </c>
      <c r="P596" s="34">
        <f t="shared" si="379"/>
        <v>646.44000000000005</v>
      </c>
      <c r="R596" s="4" t="s">
        <v>2142</v>
      </c>
      <c r="T596" s="107">
        <v>0.3</v>
      </c>
    </row>
    <row r="597" spans="1:20" x14ac:dyDescent="0.25">
      <c r="A597" s="8" t="s">
        <v>330</v>
      </c>
      <c r="B597" s="4" t="str">
        <f t="shared" si="410"/>
        <v>5528</v>
      </c>
      <c r="C597" s="102">
        <v>1432</v>
      </c>
      <c r="D597" s="98">
        <v>515</v>
      </c>
      <c r="E597" s="34">
        <f>VLOOKUP($B597,Town_Sage!$A$5:$D$399,3,0)</f>
        <v>678</v>
      </c>
      <c r="F597" s="34">
        <f>VLOOKUP($B597,Town_Sage!$A$5:$D$399,4,0)</f>
        <v>0</v>
      </c>
      <c r="G597" s="34">
        <f t="shared" si="373"/>
        <v>678</v>
      </c>
      <c r="H597" s="34"/>
      <c r="I597" s="34"/>
      <c r="J597" s="34">
        <f t="shared" si="369"/>
        <v>0</v>
      </c>
      <c r="K597" s="34"/>
      <c r="L597" s="34"/>
      <c r="M597" s="34">
        <f t="shared" si="370"/>
        <v>0</v>
      </c>
      <c r="N597" s="34">
        <f t="shared" si="374"/>
        <v>678</v>
      </c>
      <c r="O597" s="34">
        <f t="shared" si="375"/>
        <v>0</v>
      </c>
      <c r="P597" s="34">
        <f t="shared" si="379"/>
        <v>678</v>
      </c>
      <c r="R597" s="4">
        <v>1193</v>
      </c>
      <c r="S597" s="98">
        <f>R597-P597</f>
        <v>515</v>
      </c>
    </row>
    <row r="598" spans="1:20" x14ac:dyDescent="0.25">
      <c r="A598" s="8" t="s">
        <v>331</v>
      </c>
      <c r="B598" s="4" t="str">
        <f t="shared" si="410"/>
        <v>5532</v>
      </c>
      <c r="C598" s="102">
        <v>2641</v>
      </c>
      <c r="D598" s="98">
        <v>-1184</v>
      </c>
      <c r="E598" s="34">
        <f>VLOOKUP($B598,Town_Sage!$A$5:$D$399,3,0)</f>
        <v>3714.68</v>
      </c>
      <c r="F598" s="34">
        <f>VLOOKUP($B598,Town_Sage!$A$5:$D$399,4,0)</f>
        <v>0</v>
      </c>
      <c r="G598" s="34">
        <f t="shared" si="373"/>
        <v>3714.68</v>
      </c>
      <c r="H598" s="34"/>
      <c r="I598" s="34"/>
      <c r="J598" s="34">
        <f t="shared" si="369"/>
        <v>0</v>
      </c>
      <c r="K598" s="34"/>
      <c r="L598" s="34"/>
      <c r="M598" s="34">
        <f t="shared" si="370"/>
        <v>0</v>
      </c>
      <c r="N598" s="34">
        <f t="shared" si="374"/>
        <v>3714.68</v>
      </c>
      <c r="O598" s="34">
        <f t="shared" si="375"/>
        <v>0</v>
      </c>
      <c r="P598" s="34">
        <f t="shared" si="379"/>
        <v>3714.68</v>
      </c>
      <c r="R598" s="4">
        <v>2531</v>
      </c>
      <c r="S598" s="98">
        <f>R598-P598</f>
        <v>-1183.6799999999998</v>
      </c>
    </row>
    <row r="599" spans="1:20" x14ac:dyDescent="0.25">
      <c r="A599" s="8" t="s">
        <v>5</v>
      </c>
      <c r="C599" s="103">
        <f t="shared" ref="C599:D599" si="411">SUM(C590:C598)</f>
        <v>26413</v>
      </c>
      <c r="D599" s="99">
        <f t="shared" si="411"/>
        <v>3581</v>
      </c>
      <c r="E599" s="35">
        <f>SUM(E590:E598)</f>
        <v>18764.259999999998</v>
      </c>
      <c r="F599" s="35">
        <f t="shared" ref="F599:P599" si="412">SUM(F590:F598)</f>
        <v>0</v>
      </c>
      <c r="G599" s="35">
        <f t="shared" si="412"/>
        <v>18764.259999999998</v>
      </c>
      <c r="H599" s="35">
        <f t="shared" si="412"/>
        <v>0</v>
      </c>
      <c r="I599" s="35">
        <f t="shared" si="412"/>
        <v>0</v>
      </c>
      <c r="J599" s="35">
        <f t="shared" si="412"/>
        <v>0</v>
      </c>
      <c r="K599" s="35">
        <f t="shared" si="412"/>
        <v>0</v>
      </c>
      <c r="L599" s="35">
        <f t="shared" si="412"/>
        <v>0</v>
      </c>
      <c r="M599" s="35">
        <f t="shared" si="412"/>
        <v>0</v>
      </c>
      <c r="N599" s="35">
        <f t="shared" si="412"/>
        <v>18764.259999999998</v>
      </c>
      <c r="O599" s="35">
        <f t="shared" si="412"/>
        <v>0</v>
      </c>
      <c r="P599" s="35">
        <f t="shared" si="412"/>
        <v>18764.259999999998</v>
      </c>
    </row>
    <row r="600" spans="1:20" x14ac:dyDescent="0.25">
      <c r="C600" s="104"/>
      <c r="D600" s="100"/>
      <c r="E600" s="34"/>
      <c r="F600" s="34"/>
      <c r="G600" s="34">
        <f t="shared" si="373"/>
        <v>0</v>
      </c>
      <c r="H600" s="34"/>
      <c r="I600" s="34"/>
      <c r="J600" s="34">
        <f t="shared" ref="J600:J665" si="413">IF(H600&gt;0,H600,-I600)</f>
        <v>0</v>
      </c>
      <c r="K600" s="34"/>
      <c r="L600" s="34"/>
      <c r="M600" s="34">
        <f t="shared" ref="M600:M665" si="414">IF(K600&gt;0,K600,-L600)</f>
        <v>0</v>
      </c>
      <c r="N600" s="34">
        <f t="shared" si="374"/>
        <v>0</v>
      </c>
      <c r="O600" s="34">
        <f t="shared" si="375"/>
        <v>0</v>
      </c>
      <c r="P600" s="34"/>
    </row>
    <row r="601" spans="1:20" x14ac:dyDescent="0.25">
      <c r="A601" s="9" t="s">
        <v>332</v>
      </c>
      <c r="B601" s="12" t="str">
        <f>LEFT(A601,5)</f>
        <v>44.28</v>
      </c>
      <c r="C601" s="103">
        <f t="shared" ref="C601:D601" si="415">C599</f>
        <v>26413</v>
      </c>
      <c r="D601" s="99">
        <f t="shared" si="415"/>
        <v>3581</v>
      </c>
      <c r="E601" s="35">
        <f>E599</f>
        <v>18764.259999999998</v>
      </c>
      <c r="F601" s="35">
        <f t="shared" ref="F601:P601" si="416">F599</f>
        <v>0</v>
      </c>
      <c r="G601" s="35">
        <f t="shared" si="416"/>
        <v>18764.259999999998</v>
      </c>
      <c r="H601" s="35">
        <f t="shared" si="416"/>
        <v>0</v>
      </c>
      <c r="I601" s="35">
        <f t="shared" si="416"/>
        <v>0</v>
      </c>
      <c r="J601" s="35">
        <f t="shared" si="416"/>
        <v>0</v>
      </c>
      <c r="K601" s="35">
        <f t="shared" si="416"/>
        <v>0</v>
      </c>
      <c r="L601" s="35">
        <f t="shared" si="416"/>
        <v>0</v>
      </c>
      <c r="M601" s="35">
        <f t="shared" si="416"/>
        <v>0</v>
      </c>
      <c r="N601" s="35">
        <f t="shared" si="416"/>
        <v>18764.259999999998</v>
      </c>
      <c r="O601" s="35">
        <f t="shared" si="416"/>
        <v>0</v>
      </c>
      <c r="P601" s="35">
        <f t="shared" si="416"/>
        <v>18764.259999999998</v>
      </c>
    </row>
    <row r="602" spans="1:20" x14ac:dyDescent="0.25">
      <c r="E602" s="34"/>
      <c r="F602" s="34"/>
      <c r="G602" s="34">
        <f t="shared" ref="G602:G665" si="417">IF(E602&gt;0,E602,-F602)</f>
        <v>0</v>
      </c>
      <c r="H602" s="34"/>
      <c r="I602" s="34"/>
      <c r="J602" s="34">
        <f t="shared" si="413"/>
        <v>0</v>
      </c>
      <c r="K602" s="34"/>
      <c r="L602" s="34"/>
      <c r="M602" s="34">
        <f t="shared" si="414"/>
        <v>0</v>
      </c>
      <c r="N602" s="34">
        <f t="shared" ref="N602:N665" si="418">E602+H602+K602</f>
        <v>0</v>
      </c>
      <c r="O602" s="34">
        <f t="shared" ref="O602:O665" si="419">F602+I602+L602</f>
        <v>0</v>
      </c>
      <c r="P602" s="34"/>
    </row>
    <row r="603" spans="1:20" x14ac:dyDescent="0.25">
      <c r="A603" s="8" t="s">
        <v>333</v>
      </c>
      <c r="B603" s="4" t="str">
        <f t="shared" ref="B603:B609" si="420">LEFT(A603,4)</f>
        <v>5624</v>
      </c>
      <c r="C603" s="102">
        <v>1120</v>
      </c>
      <c r="D603" s="98">
        <v>534</v>
      </c>
      <c r="E603" s="34">
        <f>VLOOKUP($B603,Town_Sage!$A$5:$D$399,3,0)</f>
        <v>465</v>
      </c>
      <c r="F603" s="34">
        <f>VLOOKUP($B603,Town_Sage!$A$5:$D$399,4,0)</f>
        <v>0</v>
      </c>
      <c r="G603" s="34">
        <f t="shared" si="417"/>
        <v>465</v>
      </c>
      <c r="H603" s="34"/>
      <c r="I603" s="34"/>
      <c r="J603" s="34">
        <f t="shared" si="413"/>
        <v>0</v>
      </c>
      <c r="K603" s="34"/>
      <c r="L603" s="34"/>
      <c r="M603" s="34">
        <f t="shared" si="414"/>
        <v>0</v>
      </c>
      <c r="N603" s="34">
        <f t="shared" si="418"/>
        <v>465</v>
      </c>
      <c r="O603" s="34">
        <f t="shared" si="419"/>
        <v>0</v>
      </c>
      <c r="P603" s="34">
        <f t="shared" ref="P603:P663" si="421">IF(N603&gt;0,N603,-O603)</f>
        <v>465</v>
      </c>
      <c r="R603" s="4">
        <v>999</v>
      </c>
      <c r="S603" s="98">
        <f>R603-P603</f>
        <v>534</v>
      </c>
    </row>
    <row r="604" spans="1:20" x14ac:dyDescent="0.25">
      <c r="A604" s="8" t="s">
        <v>334</v>
      </c>
      <c r="B604" s="4" t="str">
        <f t="shared" si="420"/>
        <v>5625</v>
      </c>
      <c r="C604" s="102">
        <v>5000</v>
      </c>
      <c r="E604" s="34">
        <f>VLOOKUP($B604,Town_Sage!$A$5:$D$399,3,0)</f>
        <v>5067.29</v>
      </c>
      <c r="F604" s="34">
        <f>VLOOKUP($B604,Town_Sage!$A$5:$D$399,4,0)</f>
        <v>0</v>
      </c>
      <c r="G604" s="34">
        <f t="shared" si="417"/>
        <v>5067.29</v>
      </c>
      <c r="H604" s="34"/>
      <c r="I604" s="34"/>
      <c r="J604" s="34">
        <f t="shared" si="413"/>
        <v>0</v>
      </c>
      <c r="K604" s="34"/>
      <c r="L604" s="34"/>
      <c r="M604" s="34">
        <f t="shared" si="414"/>
        <v>0</v>
      </c>
      <c r="N604" s="34">
        <f t="shared" si="418"/>
        <v>5067.29</v>
      </c>
      <c r="O604" s="34">
        <f t="shared" si="419"/>
        <v>0</v>
      </c>
      <c r="P604" s="34">
        <f t="shared" si="421"/>
        <v>5067.29</v>
      </c>
    </row>
    <row r="605" spans="1:20" x14ac:dyDescent="0.25">
      <c r="A605" s="8" t="s">
        <v>335</v>
      </c>
      <c r="B605" s="4" t="str">
        <f t="shared" si="420"/>
        <v>5626</v>
      </c>
      <c r="C605" s="102">
        <v>3000</v>
      </c>
      <c r="E605" s="34">
        <f>VLOOKUP($B605,Town_Sage!$A$5:$D$399,3,0)</f>
        <v>3368.51</v>
      </c>
      <c r="F605" s="34">
        <f>VLOOKUP($B605,Town_Sage!$A$5:$D$399,4,0)</f>
        <v>0</v>
      </c>
      <c r="G605" s="34">
        <f t="shared" si="417"/>
        <v>3368.51</v>
      </c>
      <c r="H605" s="34"/>
      <c r="I605" s="34"/>
      <c r="J605" s="34">
        <f t="shared" si="413"/>
        <v>0</v>
      </c>
      <c r="K605" s="34"/>
      <c r="L605" s="34"/>
      <c r="M605" s="34">
        <f t="shared" si="414"/>
        <v>0</v>
      </c>
      <c r="N605" s="34">
        <f t="shared" si="418"/>
        <v>3368.51</v>
      </c>
      <c r="O605" s="34">
        <f t="shared" si="419"/>
        <v>0</v>
      </c>
      <c r="P605" s="34">
        <f t="shared" si="421"/>
        <v>3368.51</v>
      </c>
    </row>
    <row r="606" spans="1:20" x14ac:dyDescent="0.25">
      <c r="A606" s="8" t="s">
        <v>336</v>
      </c>
      <c r="B606" s="4" t="str">
        <f t="shared" si="420"/>
        <v>5627</v>
      </c>
      <c r="C606" s="102">
        <v>500</v>
      </c>
      <c r="E606" s="34">
        <f>VLOOKUP($B606,Town_Sage!$A$5:$D$399,3,0)</f>
        <v>0</v>
      </c>
      <c r="F606" s="34">
        <f>VLOOKUP($B606,Town_Sage!$A$5:$D$399,4,0)</f>
        <v>0</v>
      </c>
      <c r="G606" s="34">
        <f t="shared" si="417"/>
        <v>0</v>
      </c>
      <c r="H606" s="34"/>
      <c r="I606" s="34"/>
      <c r="J606" s="34">
        <f t="shared" si="413"/>
        <v>0</v>
      </c>
      <c r="K606" s="34"/>
      <c r="L606" s="34"/>
      <c r="M606" s="34">
        <f t="shared" si="414"/>
        <v>0</v>
      </c>
      <c r="N606" s="34">
        <f t="shared" si="418"/>
        <v>0</v>
      </c>
      <c r="O606" s="34">
        <f t="shared" si="419"/>
        <v>0</v>
      </c>
      <c r="P606" s="34">
        <f t="shared" si="421"/>
        <v>0</v>
      </c>
    </row>
    <row r="607" spans="1:20" x14ac:dyDescent="0.25">
      <c r="A607" s="8" t="s">
        <v>337</v>
      </c>
      <c r="B607" s="4" t="str">
        <f t="shared" si="420"/>
        <v>5628</v>
      </c>
      <c r="C607" s="102">
        <v>3000</v>
      </c>
      <c r="D607" s="98">
        <v>400</v>
      </c>
      <c r="E607" s="34">
        <f>VLOOKUP($B607,Town_Sage!$A$5:$D$399,3,0)</f>
        <v>1621.9</v>
      </c>
      <c r="F607" s="34">
        <f>VLOOKUP($B607,Town_Sage!$A$5:$D$399,4,0)</f>
        <v>0</v>
      </c>
      <c r="G607" s="34">
        <f t="shared" si="417"/>
        <v>1621.9</v>
      </c>
      <c r="H607" s="34"/>
      <c r="I607" s="34"/>
      <c r="J607" s="34">
        <f t="shared" si="413"/>
        <v>0</v>
      </c>
      <c r="K607" s="34"/>
      <c r="L607" s="34"/>
      <c r="M607" s="34">
        <f t="shared" si="414"/>
        <v>0</v>
      </c>
      <c r="N607" s="34">
        <f t="shared" si="418"/>
        <v>1621.9</v>
      </c>
      <c r="O607" s="34">
        <f t="shared" si="419"/>
        <v>0</v>
      </c>
      <c r="P607" s="34">
        <f t="shared" si="421"/>
        <v>1621.9</v>
      </c>
      <c r="R607" s="4" t="s">
        <v>2143</v>
      </c>
    </row>
    <row r="608" spans="1:20" x14ac:dyDescent="0.25">
      <c r="A608" s="8" t="s">
        <v>338</v>
      </c>
      <c r="B608" s="4" t="str">
        <f t="shared" si="420"/>
        <v>5629</v>
      </c>
      <c r="C608" s="102">
        <v>1000</v>
      </c>
      <c r="E608" s="34">
        <f>VLOOKUP($B608,Town_Sage!$A$5:$D$399,3,0)</f>
        <v>951</v>
      </c>
      <c r="F608" s="34">
        <f>VLOOKUP($B608,Town_Sage!$A$5:$D$399,4,0)</f>
        <v>0</v>
      </c>
      <c r="G608" s="34">
        <f t="shared" si="417"/>
        <v>951</v>
      </c>
      <c r="H608" s="34"/>
      <c r="I608" s="34"/>
      <c r="J608" s="34">
        <f t="shared" si="413"/>
        <v>0</v>
      </c>
      <c r="K608" s="34"/>
      <c r="L608" s="34"/>
      <c r="M608" s="34">
        <f t="shared" si="414"/>
        <v>0</v>
      </c>
      <c r="N608" s="34">
        <f t="shared" si="418"/>
        <v>951</v>
      </c>
      <c r="O608" s="34">
        <f t="shared" si="419"/>
        <v>0</v>
      </c>
      <c r="P608" s="34">
        <f t="shared" si="421"/>
        <v>951</v>
      </c>
    </row>
    <row r="609" spans="1:21" x14ac:dyDescent="0.25">
      <c r="A609" s="8" t="s">
        <v>339</v>
      </c>
      <c r="B609" s="4" t="str">
        <f t="shared" si="420"/>
        <v>5630</v>
      </c>
      <c r="C609" s="102">
        <v>1040</v>
      </c>
      <c r="D609" s="98">
        <v>250</v>
      </c>
      <c r="E609" s="34">
        <f>VLOOKUP($B609,Town_Sage!$A$5:$D$399,3,0)</f>
        <v>637.99</v>
      </c>
      <c r="F609" s="34">
        <f>VLOOKUP($B609,Town_Sage!$A$5:$D$399,4,0)</f>
        <v>0</v>
      </c>
      <c r="G609" s="34">
        <f t="shared" si="417"/>
        <v>637.99</v>
      </c>
      <c r="H609" s="34"/>
      <c r="I609" s="34"/>
      <c r="J609" s="34">
        <f t="shared" si="413"/>
        <v>0</v>
      </c>
      <c r="K609" s="34"/>
      <c r="L609" s="34"/>
      <c r="M609" s="34">
        <f t="shared" si="414"/>
        <v>0</v>
      </c>
      <c r="N609" s="34">
        <f t="shared" si="418"/>
        <v>637.99</v>
      </c>
      <c r="O609" s="34">
        <f t="shared" si="419"/>
        <v>0</v>
      </c>
      <c r="P609" s="34">
        <f t="shared" si="421"/>
        <v>637.99</v>
      </c>
    </row>
    <row r="610" spans="1:21" x14ac:dyDescent="0.25">
      <c r="A610" s="8" t="s">
        <v>5</v>
      </c>
      <c r="C610" s="103">
        <f t="shared" ref="C610:D610" si="422">SUM(C603:C609)</f>
        <v>14660</v>
      </c>
      <c r="D610" s="99">
        <f t="shared" si="422"/>
        <v>1184</v>
      </c>
      <c r="E610" s="35">
        <f t="shared" ref="E610:P610" si="423">SUM(E603:E609)</f>
        <v>12111.689999999999</v>
      </c>
      <c r="F610" s="35">
        <f t="shared" si="423"/>
        <v>0</v>
      </c>
      <c r="G610" s="35">
        <f t="shared" si="423"/>
        <v>12111.689999999999</v>
      </c>
      <c r="H610" s="35">
        <f t="shared" si="423"/>
        <v>0</v>
      </c>
      <c r="I610" s="35">
        <f t="shared" si="423"/>
        <v>0</v>
      </c>
      <c r="J610" s="35">
        <f t="shared" si="423"/>
        <v>0</v>
      </c>
      <c r="K610" s="35">
        <f t="shared" si="423"/>
        <v>0</v>
      </c>
      <c r="L610" s="35">
        <f t="shared" si="423"/>
        <v>0</v>
      </c>
      <c r="M610" s="35">
        <f t="shared" si="423"/>
        <v>0</v>
      </c>
      <c r="N610" s="35">
        <f t="shared" si="423"/>
        <v>12111.689999999999</v>
      </c>
      <c r="O610" s="35">
        <f t="shared" si="423"/>
        <v>0</v>
      </c>
      <c r="P610" s="35">
        <f t="shared" si="423"/>
        <v>12111.689999999999</v>
      </c>
    </row>
    <row r="611" spans="1:21" x14ac:dyDescent="0.25">
      <c r="C611" s="104"/>
      <c r="D611" s="100"/>
      <c r="E611" s="34"/>
      <c r="F611" s="34"/>
      <c r="G611" s="34">
        <f t="shared" si="417"/>
        <v>0</v>
      </c>
      <c r="H611" s="34"/>
      <c r="I611" s="34"/>
      <c r="J611" s="34">
        <f t="shared" si="413"/>
        <v>0</v>
      </c>
      <c r="K611" s="34"/>
      <c r="L611" s="34"/>
      <c r="M611" s="34">
        <f t="shared" si="414"/>
        <v>0</v>
      </c>
      <c r="N611" s="34">
        <f t="shared" si="418"/>
        <v>0</v>
      </c>
      <c r="O611" s="34">
        <f t="shared" si="419"/>
        <v>0</v>
      </c>
      <c r="P611" s="34">
        <f t="shared" si="421"/>
        <v>0</v>
      </c>
    </row>
    <row r="612" spans="1:21" x14ac:dyDescent="0.25">
      <c r="A612" s="9" t="s">
        <v>341</v>
      </c>
      <c r="B612" s="12" t="str">
        <f>LEFT(A612,5)</f>
        <v>44.29</v>
      </c>
      <c r="C612" s="103">
        <f t="shared" ref="C612:D612" si="424">C610</f>
        <v>14660</v>
      </c>
      <c r="D612" s="99">
        <f t="shared" si="424"/>
        <v>1184</v>
      </c>
      <c r="E612" s="35">
        <f>E610</f>
        <v>12111.689999999999</v>
      </c>
      <c r="F612" s="35">
        <f t="shared" ref="F612:P612" si="425">F610</f>
        <v>0</v>
      </c>
      <c r="G612" s="35">
        <f t="shared" si="425"/>
        <v>12111.689999999999</v>
      </c>
      <c r="H612" s="35">
        <f t="shared" si="425"/>
        <v>0</v>
      </c>
      <c r="I612" s="35">
        <f t="shared" si="425"/>
        <v>0</v>
      </c>
      <c r="J612" s="35">
        <f t="shared" si="425"/>
        <v>0</v>
      </c>
      <c r="K612" s="35">
        <f t="shared" si="425"/>
        <v>0</v>
      </c>
      <c r="L612" s="35">
        <f t="shared" si="425"/>
        <v>0</v>
      </c>
      <c r="M612" s="35">
        <f t="shared" si="425"/>
        <v>0</v>
      </c>
      <c r="N612" s="35">
        <f t="shared" si="425"/>
        <v>12111.689999999999</v>
      </c>
      <c r="O612" s="35">
        <f t="shared" si="425"/>
        <v>0</v>
      </c>
      <c r="P612" s="35">
        <f t="shared" si="425"/>
        <v>12111.689999999999</v>
      </c>
    </row>
    <row r="613" spans="1:21" x14ac:dyDescent="0.25">
      <c r="E613" s="34"/>
      <c r="F613" s="34"/>
      <c r="G613" s="34">
        <f t="shared" si="417"/>
        <v>0</v>
      </c>
      <c r="H613" s="34"/>
      <c r="I613" s="34"/>
      <c r="J613" s="34">
        <f t="shared" si="413"/>
        <v>0</v>
      </c>
      <c r="K613" s="34"/>
      <c r="L613" s="34"/>
      <c r="M613" s="34">
        <f t="shared" si="414"/>
        <v>0</v>
      </c>
      <c r="N613" s="34">
        <f t="shared" si="418"/>
        <v>0</v>
      </c>
      <c r="O613" s="34">
        <f t="shared" si="419"/>
        <v>0</v>
      </c>
      <c r="P613" s="34"/>
    </row>
    <row r="614" spans="1:21" x14ac:dyDescent="0.25">
      <c r="A614" s="8" t="s">
        <v>2118</v>
      </c>
      <c r="B614" s="4" t="str">
        <f>LEFT(A614,4)</f>
        <v>5756</v>
      </c>
      <c r="C614" s="102">
        <f>2141</f>
        <v>2141</v>
      </c>
      <c r="D614" s="98">
        <v>2031</v>
      </c>
      <c r="E614" s="34">
        <f>VLOOKUP($B614,Town_Sage!$A$5:$D$399,3,0)</f>
        <v>90.42</v>
      </c>
      <c r="F614" s="34">
        <f>VLOOKUP($B614,Town_Sage!$A$5:$D$399,4,0)</f>
        <v>0</v>
      </c>
      <c r="G614" s="34">
        <f t="shared" si="417"/>
        <v>90.42</v>
      </c>
      <c r="H614" s="34"/>
      <c r="I614" s="34"/>
      <c r="J614" s="34">
        <f t="shared" si="413"/>
        <v>0</v>
      </c>
      <c r="K614" s="34"/>
      <c r="L614" s="34"/>
      <c r="M614" s="34">
        <f t="shared" si="414"/>
        <v>0</v>
      </c>
      <c r="N614" s="34">
        <f t="shared" si="418"/>
        <v>90.42</v>
      </c>
      <c r="O614" s="34">
        <f t="shared" si="419"/>
        <v>0</v>
      </c>
      <c r="P614" s="34">
        <f t="shared" si="421"/>
        <v>90.42</v>
      </c>
    </row>
    <row r="615" spans="1:21" x14ac:dyDescent="0.25">
      <c r="A615" s="8" t="s">
        <v>342</v>
      </c>
      <c r="B615" s="4" t="str">
        <f>LEFT(A615,4)</f>
        <v>5831</v>
      </c>
      <c r="E615" s="34">
        <f>VLOOKUP($B615,Town_Sage!$A$5:$D$399,3,0)</f>
        <v>0</v>
      </c>
      <c r="F615" s="34">
        <f>VLOOKUP($B615,Town_Sage!$A$5:$D$399,4,0)</f>
        <v>0</v>
      </c>
      <c r="G615" s="34">
        <f t="shared" si="417"/>
        <v>0</v>
      </c>
      <c r="H615" s="34"/>
      <c r="I615" s="34"/>
      <c r="J615" s="34">
        <f t="shared" si="413"/>
        <v>0</v>
      </c>
      <c r="K615" s="34"/>
      <c r="L615" s="34"/>
      <c r="M615" s="34">
        <f t="shared" si="414"/>
        <v>0</v>
      </c>
      <c r="N615" s="34">
        <f t="shared" si="418"/>
        <v>0</v>
      </c>
      <c r="O615" s="34">
        <f t="shared" si="419"/>
        <v>0</v>
      </c>
      <c r="P615" s="34"/>
    </row>
    <row r="616" spans="1:21" x14ac:dyDescent="0.25">
      <c r="A616" s="8" t="s">
        <v>5</v>
      </c>
      <c r="C616" s="103">
        <f t="shared" ref="C616:D616" si="426">SUM(C614:C615)</f>
        <v>2141</v>
      </c>
      <c r="D616" s="99">
        <f t="shared" si="426"/>
        <v>2031</v>
      </c>
      <c r="E616" s="35">
        <f>SUM(E614:E615)</f>
        <v>90.42</v>
      </c>
      <c r="F616" s="35">
        <f t="shared" ref="F616:P616" si="427">SUM(F614:F615)</f>
        <v>0</v>
      </c>
      <c r="G616" s="35">
        <f t="shared" si="427"/>
        <v>90.42</v>
      </c>
      <c r="H616" s="35">
        <f t="shared" si="427"/>
        <v>0</v>
      </c>
      <c r="I616" s="35">
        <f t="shared" si="427"/>
        <v>0</v>
      </c>
      <c r="J616" s="35">
        <f t="shared" si="427"/>
        <v>0</v>
      </c>
      <c r="K616" s="35">
        <f t="shared" si="427"/>
        <v>0</v>
      </c>
      <c r="L616" s="35">
        <f t="shared" si="427"/>
        <v>0</v>
      </c>
      <c r="M616" s="35">
        <f t="shared" si="427"/>
        <v>0</v>
      </c>
      <c r="N616" s="35">
        <f t="shared" si="427"/>
        <v>90.42</v>
      </c>
      <c r="O616" s="35">
        <f t="shared" si="427"/>
        <v>0</v>
      </c>
      <c r="P616" s="35">
        <f t="shared" si="427"/>
        <v>90.42</v>
      </c>
    </row>
    <row r="617" spans="1:21" x14ac:dyDescent="0.25">
      <c r="C617" s="104"/>
      <c r="D617" s="100"/>
      <c r="E617" s="34"/>
      <c r="F617" s="34"/>
      <c r="G617" s="34">
        <f t="shared" si="417"/>
        <v>0</v>
      </c>
      <c r="H617" s="34"/>
      <c r="I617" s="34"/>
      <c r="J617" s="34">
        <f t="shared" si="413"/>
        <v>0</v>
      </c>
      <c r="K617" s="34"/>
      <c r="L617" s="34"/>
      <c r="M617" s="34">
        <f t="shared" si="414"/>
        <v>0</v>
      </c>
      <c r="N617" s="34">
        <f t="shared" si="418"/>
        <v>0</v>
      </c>
      <c r="O617" s="34">
        <f t="shared" si="419"/>
        <v>0</v>
      </c>
      <c r="P617" s="34"/>
    </row>
    <row r="618" spans="1:21" x14ac:dyDescent="0.25">
      <c r="A618" s="9" t="s">
        <v>343</v>
      </c>
      <c r="B618" s="12" t="str">
        <f>LEFT(A618,5)</f>
        <v>44.33</v>
      </c>
      <c r="C618" s="103">
        <f t="shared" ref="C618:D618" si="428">C616</f>
        <v>2141</v>
      </c>
      <c r="D618" s="99">
        <f t="shared" si="428"/>
        <v>2031</v>
      </c>
      <c r="E618" s="35">
        <f>E616</f>
        <v>90.42</v>
      </c>
      <c r="F618" s="35">
        <f t="shared" ref="F618:P618" si="429">F616</f>
        <v>0</v>
      </c>
      <c r="G618" s="35">
        <f t="shared" si="429"/>
        <v>90.42</v>
      </c>
      <c r="H618" s="35">
        <f t="shared" si="429"/>
        <v>0</v>
      </c>
      <c r="I618" s="35">
        <f t="shared" si="429"/>
        <v>0</v>
      </c>
      <c r="J618" s="35">
        <f t="shared" si="429"/>
        <v>0</v>
      </c>
      <c r="K618" s="35">
        <f t="shared" si="429"/>
        <v>0</v>
      </c>
      <c r="L618" s="35">
        <f t="shared" si="429"/>
        <v>0</v>
      </c>
      <c r="M618" s="35">
        <f t="shared" si="429"/>
        <v>0</v>
      </c>
      <c r="N618" s="35">
        <f t="shared" si="429"/>
        <v>90.42</v>
      </c>
      <c r="O618" s="35">
        <f t="shared" si="429"/>
        <v>0</v>
      </c>
      <c r="P618" s="35">
        <f t="shared" si="429"/>
        <v>90.42</v>
      </c>
    </row>
    <row r="619" spans="1:21" x14ac:dyDescent="0.25">
      <c r="E619" s="34"/>
      <c r="F619" s="34"/>
      <c r="G619" s="34">
        <f t="shared" si="417"/>
        <v>0</v>
      </c>
      <c r="H619" s="34"/>
      <c r="I619" s="34"/>
      <c r="J619" s="34">
        <f t="shared" si="413"/>
        <v>0</v>
      </c>
      <c r="K619" s="34"/>
      <c r="L619" s="34"/>
      <c r="M619" s="34">
        <f t="shared" si="414"/>
        <v>0</v>
      </c>
      <c r="N619" s="34">
        <f t="shared" si="418"/>
        <v>0</v>
      </c>
      <c r="O619" s="34">
        <f t="shared" si="419"/>
        <v>0</v>
      </c>
      <c r="P619" s="34"/>
    </row>
    <row r="620" spans="1:21" x14ac:dyDescent="0.25">
      <c r="A620" s="8" t="s">
        <v>2222</v>
      </c>
      <c r="B620" s="4" t="str">
        <f>LEFT(A620,4)</f>
        <v>5535</v>
      </c>
      <c r="C620" s="105">
        <v>-18500</v>
      </c>
      <c r="D620" s="101">
        <v>-5300</v>
      </c>
      <c r="E620" s="34">
        <f>VLOOKUP($B620,Town_Sage!$A$5:$D$399,3,0)</f>
        <v>0</v>
      </c>
      <c r="F620" s="34">
        <f>VLOOKUP($B620,Town_Sage!$A$5:$D$399,4,0)</f>
        <v>10327.120000000001</v>
      </c>
      <c r="G620" s="34">
        <f t="shared" si="417"/>
        <v>-10327.120000000001</v>
      </c>
      <c r="H620" s="34"/>
      <c r="I620" s="34"/>
      <c r="J620" s="34">
        <f t="shared" si="413"/>
        <v>0</v>
      </c>
      <c r="K620" s="34"/>
      <c r="L620" s="34"/>
      <c r="M620" s="34">
        <f t="shared" si="414"/>
        <v>0</v>
      </c>
      <c r="N620" s="34">
        <f t="shared" si="418"/>
        <v>0</v>
      </c>
      <c r="O620" s="34">
        <f t="shared" si="419"/>
        <v>10327.120000000001</v>
      </c>
      <c r="P620" s="34">
        <f t="shared" si="421"/>
        <v>-10327.120000000001</v>
      </c>
      <c r="R620" s="86" t="s">
        <v>2221</v>
      </c>
      <c r="S620" s="86"/>
      <c r="T620" s="86"/>
      <c r="U620" s="4" t="s">
        <v>2227</v>
      </c>
    </row>
    <row r="621" spans="1:21" x14ac:dyDescent="0.25">
      <c r="A621" s="8" t="s">
        <v>5</v>
      </c>
      <c r="C621" s="103">
        <f t="shared" ref="C621:D621" si="430">C620</f>
        <v>-18500</v>
      </c>
      <c r="D621" s="99">
        <f t="shared" si="430"/>
        <v>-5300</v>
      </c>
      <c r="E621" s="35">
        <f>E620</f>
        <v>0</v>
      </c>
      <c r="F621" s="35">
        <f t="shared" ref="F621:P621" si="431">F620</f>
        <v>10327.120000000001</v>
      </c>
      <c r="G621" s="35">
        <f t="shared" si="431"/>
        <v>-10327.120000000001</v>
      </c>
      <c r="H621" s="35">
        <f t="shared" si="431"/>
        <v>0</v>
      </c>
      <c r="I621" s="35">
        <f t="shared" si="431"/>
        <v>0</v>
      </c>
      <c r="J621" s="35">
        <f t="shared" si="431"/>
        <v>0</v>
      </c>
      <c r="K621" s="35">
        <f t="shared" si="431"/>
        <v>0</v>
      </c>
      <c r="L621" s="35">
        <f t="shared" si="431"/>
        <v>0</v>
      </c>
      <c r="M621" s="35">
        <f t="shared" si="431"/>
        <v>0</v>
      </c>
      <c r="N621" s="35">
        <f t="shared" si="431"/>
        <v>0</v>
      </c>
      <c r="O621" s="35">
        <f t="shared" si="431"/>
        <v>10327.120000000001</v>
      </c>
      <c r="P621" s="35">
        <f t="shared" si="431"/>
        <v>-10327.120000000001</v>
      </c>
      <c r="R621" s="4">
        <v>-16640</v>
      </c>
      <c r="S621" s="98">
        <f>R621-P621</f>
        <v>-6312.8799999999992</v>
      </c>
    </row>
    <row r="622" spans="1:21" x14ac:dyDescent="0.25">
      <c r="C622" s="104"/>
      <c r="D622" s="100"/>
      <c r="E622" s="34"/>
      <c r="F622" s="34"/>
      <c r="G622" s="34">
        <f t="shared" si="417"/>
        <v>0</v>
      </c>
      <c r="H622" s="34"/>
      <c r="I622" s="34"/>
      <c r="J622" s="34">
        <f t="shared" si="413"/>
        <v>0</v>
      </c>
      <c r="K622" s="34"/>
      <c r="L622" s="34"/>
      <c r="M622" s="34">
        <f t="shared" si="414"/>
        <v>0</v>
      </c>
      <c r="N622" s="34">
        <f t="shared" si="418"/>
        <v>0</v>
      </c>
      <c r="O622" s="34">
        <f t="shared" si="419"/>
        <v>0</v>
      </c>
      <c r="P622" s="34"/>
    </row>
    <row r="623" spans="1:21" x14ac:dyDescent="0.25">
      <c r="A623" s="9" t="s">
        <v>344</v>
      </c>
      <c r="B623" s="12" t="str">
        <f>LEFT(A623,5)</f>
        <v>44.34</v>
      </c>
      <c r="C623" s="103">
        <f t="shared" ref="C623:D623" si="432">C621</f>
        <v>-18500</v>
      </c>
      <c r="D623" s="99">
        <f t="shared" si="432"/>
        <v>-5300</v>
      </c>
      <c r="E623" s="35">
        <f>E621</f>
        <v>0</v>
      </c>
      <c r="F623" s="35">
        <f>F621</f>
        <v>10327.120000000001</v>
      </c>
      <c r="G623" s="35">
        <f t="shared" ref="G623:P623" si="433">G621</f>
        <v>-10327.120000000001</v>
      </c>
      <c r="H623" s="35">
        <f t="shared" si="433"/>
        <v>0</v>
      </c>
      <c r="I623" s="35">
        <f t="shared" si="433"/>
        <v>0</v>
      </c>
      <c r="J623" s="35">
        <f t="shared" si="433"/>
        <v>0</v>
      </c>
      <c r="K623" s="35">
        <f t="shared" si="433"/>
        <v>0</v>
      </c>
      <c r="L623" s="35">
        <f t="shared" si="433"/>
        <v>0</v>
      </c>
      <c r="M623" s="35">
        <f t="shared" si="433"/>
        <v>0</v>
      </c>
      <c r="N623" s="35">
        <f t="shared" si="433"/>
        <v>0</v>
      </c>
      <c r="O623" s="35">
        <f t="shared" si="433"/>
        <v>10327.120000000001</v>
      </c>
      <c r="P623" s="35">
        <f t="shared" si="433"/>
        <v>-10327.120000000001</v>
      </c>
    </row>
    <row r="624" spans="1:21" x14ac:dyDescent="0.25">
      <c r="E624" s="34"/>
      <c r="F624" s="34"/>
      <c r="G624" s="34">
        <f t="shared" si="417"/>
        <v>0</v>
      </c>
      <c r="H624" s="34"/>
      <c r="I624" s="34"/>
      <c r="J624" s="34">
        <f t="shared" si="413"/>
        <v>0</v>
      </c>
      <c r="K624" s="34"/>
      <c r="L624" s="34"/>
      <c r="M624" s="34">
        <f t="shared" si="414"/>
        <v>0</v>
      </c>
      <c r="N624" s="34">
        <f t="shared" si="418"/>
        <v>0</v>
      </c>
      <c r="O624" s="34">
        <f t="shared" si="419"/>
        <v>0</v>
      </c>
      <c r="P624" s="34"/>
    </row>
    <row r="625" spans="1:19" x14ac:dyDescent="0.25">
      <c r="A625" s="8" t="s">
        <v>345</v>
      </c>
      <c r="B625" s="4" t="str">
        <f t="shared" ref="B625:B631" si="434">LEFT(A625,4)</f>
        <v>5702</v>
      </c>
      <c r="C625" s="102">
        <v>0</v>
      </c>
      <c r="D625" s="98">
        <v>0</v>
      </c>
      <c r="E625" s="34">
        <f>VLOOKUP($B625,Town_Sage!$A$5:$D$399,3,0)</f>
        <v>0</v>
      </c>
      <c r="F625" s="34">
        <f>VLOOKUP($B625,Town_Sage!$A$5:$D$399,4,0)</f>
        <v>0</v>
      </c>
      <c r="G625" s="34">
        <f t="shared" si="417"/>
        <v>0</v>
      </c>
      <c r="H625" s="34"/>
      <c r="I625" s="34"/>
      <c r="J625" s="34">
        <f t="shared" si="413"/>
        <v>0</v>
      </c>
      <c r="K625" s="34"/>
      <c r="L625" s="34"/>
      <c r="M625" s="34">
        <f t="shared" si="414"/>
        <v>0</v>
      </c>
      <c r="N625" s="34">
        <f t="shared" si="418"/>
        <v>0</v>
      </c>
      <c r="O625" s="34">
        <f t="shared" si="419"/>
        <v>0</v>
      </c>
      <c r="P625" s="34">
        <f t="shared" si="421"/>
        <v>0</v>
      </c>
    </row>
    <row r="626" spans="1:19" x14ac:dyDescent="0.25">
      <c r="A626" s="8" t="s">
        <v>346</v>
      </c>
      <c r="B626" s="4" t="str">
        <f t="shared" si="434"/>
        <v>5703</v>
      </c>
      <c r="C626" s="102">
        <v>364</v>
      </c>
      <c r="D626" s="98">
        <v>121</v>
      </c>
      <c r="E626" s="34">
        <f>VLOOKUP($B626,Town_Sage!$A$5:$D$399,3,0)</f>
        <v>182.25</v>
      </c>
      <c r="F626" s="34">
        <f>VLOOKUP($B626,Town_Sage!$A$5:$D$399,4,0)</f>
        <v>0</v>
      </c>
      <c r="G626" s="34">
        <f t="shared" si="417"/>
        <v>182.25</v>
      </c>
      <c r="H626" s="34"/>
      <c r="I626" s="34"/>
      <c r="J626" s="34">
        <f t="shared" si="413"/>
        <v>0</v>
      </c>
      <c r="K626" s="34"/>
      <c r="L626" s="34"/>
      <c r="M626" s="34">
        <f t="shared" si="414"/>
        <v>0</v>
      </c>
      <c r="N626" s="34">
        <f t="shared" si="418"/>
        <v>182.25</v>
      </c>
      <c r="O626" s="34">
        <f t="shared" si="419"/>
        <v>0</v>
      </c>
      <c r="P626" s="34">
        <f t="shared" si="421"/>
        <v>182.25</v>
      </c>
      <c r="R626" s="4">
        <v>303</v>
      </c>
      <c r="S626" s="98">
        <f>R626-P626</f>
        <v>120.75</v>
      </c>
    </row>
    <row r="627" spans="1:19" x14ac:dyDescent="0.25">
      <c r="A627" s="8" t="s">
        <v>347</v>
      </c>
      <c r="B627" s="4" t="str">
        <f t="shared" si="434"/>
        <v>5704</v>
      </c>
      <c r="C627" s="102">
        <v>0</v>
      </c>
      <c r="D627" s="98">
        <v>0</v>
      </c>
      <c r="E627" s="34">
        <f>VLOOKUP($B627,Town_Sage!$A$5:$D$399,3,0)</f>
        <v>0</v>
      </c>
      <c r="F627" s="34">
        <f>VLOOKUP($B627,Town_Sage!$A$5:$D$399,4,0)</f>
        <v>0</v>
      </c>
      <c r="G627" s="34">
        <f t="shared" si="417"/>
        <v>0</v>
      </c>
      <c r="H627" s="34"/>
      <c r="I627" s="34"/>
      <c r="J627" s="34">
        <f t="shared" si="413"/>
        <v>0</v>
      </c>
      <c r="K627" s="34"/>
      <c r="L627" s="34"/>
      <c r="M627" s="34">
        <f t="shared" si="414"/>
        <v>0</v>
      </c>
      <c r="N627" s="34">
        <f t="shared" si="418"/>
        <v>0</v>
      </c>
      <c r="O627" s="34">
        <f t="shared" si="419"/>
        <v>0</v>
      </c>
      <c r="P627" s="34">
        <f t="shared" si="421"/>
        <v>0</v>
      </c>
    </row>
    <row r="628" spans="1:19" x14ac:dyDescent="0.25">
      <c r="A628" s="8" t="s">
        <v>348</v>
      </c>
      <c r="B628" s="4" t="str">
        <f t="shared" si="434"/>
        <v>5705</v>
      </c>
      <c r="C628" s="102">
        <v>2200</v>
      </c>
      <c r="D628" s="98">
        <v>450</v>
      </c>
      <c r="E628" s="34">
        <f>VLOOKUP($B628,Town_Sage!$A$5:$D$399,3,0)</f>
        <v>1116.3</v>
      </c>
      <c r="F628" s="34">
        <f>VLOOKUP($B628,Town_Sage!$A$5:$D$399,4,0)</f>
        <v>0</v>
      </c>
      <c r="G628" s="34">
        <f t="shared" si="417"/>
        <v>1116.3</v>
      </c>
      <c r="H628" s="34"/>
      <c r="I628" s="34"/>
      <c r="J628" s="34">
        <f t="shared" si="413"/>
        <v>0</v>
      </c>
      <c r="K628" s="34"/>
      <c r="L628" s="34"/>
      <c r="M628" s="34">
        <f t="shared" si="414"/>
        <v>0</v>
      </c>
      <c r="N628" s="34">
        <f t="shared" si="418"/>
        <v>1116.3</v>
      </c>
      <c r="O628" s="34">
        <f t="shared" si="419"/>
        <v>0</v>
      </c>
      <c r="P628" s="34">
        <f t="shared" si="421"/>
        <v>1116.3</v>
      </c>
    </row>
    <row r="629" spans="1:19" x14ac:dyDescent="0.25">
      <c r="A629" s="8" t="s">
        <v>349</v>
      </c>
      <c r="B629" s="4" t="str">
        <f t="shared" si="434"/>
        <v>5706</v>
      </c>
      <c r="C629" s="102">
        <v>2000</v>
      </c>
      <c r="E629" s="34">
        <f>VLOOKUP($B629,Town_Sage!$A$5:$D$399,3,0)</f>
        <v>558.75</v>
      </c>
      <c r="F629" s="34">
        <f>VLOOKUP($B629,Town_Sage!$A$5:$D$399,4,0)</f>
        <v>0</v>
      </c>
      <c r="G629" s="34">
        <f t="shared" si="417"/>
        <v>558.75</v>
      </c>
      <c r="H629" s="34"/>
      <c r="I629" s="34"/>
      <c r="J629" s="34">
        <f t="shared" si="413"/>
        <v>0</v>
      </c>
      <c r="K629" s="34"/>
      <c r="L629" s="34"/>
      <c r="M629" s="34">
        <f t="shared" si="414"/>
        <v>0</v>
      </c>
      <c r="N629" s="34">
        <f t="shared" si="418"/>
        <v>558.75</v>
      </c>
      <c r="O629" s="34">
        <f t="shared" si="419"/>
        <v>0</v>
      </c>
      <c r="P629" s="34">
        <f t="shared" si="421"/>
        <v>558.75</v>
      </c>
      <c r="Q629" s="4" t="s">
        <v>2145</v>
      </c>
    </row>
    <row r="630" spans="1:19" x14ac:dyDescent="0.25">
      <c r="A630" s="114" t="s">
        <v>2144</v>
      </c>
      <c r="B630" s="86" t="str">
        <f t="shared" ref="B630" si="435">LEFT(A630,4)</f>
        <v>5707</v>
      </c>
      <c r="C630" s="105">
        <v>1040</v>
      </c>
      <c r="D630" s="101"/>
      <c r="E630" s="111">
        <f>VLOOKUP($B630,Town_Sage!$A$5:$D$399,3,0)</f>
        <v>0</v>
      </c>
      <c r="F630" s="111">
        <f>VLOOKUP($B630,Town_Sage!$A$5:$D$399,4,0)</f>
        <v>0</v>
      </c>
      <c r="G630" s="111">
        <f t="shared" ref="G630" si="436">IF(E630&gt;0,E630,-F630)</f>
        <v>0</v>
      </c>
      <c r="H630" s="111"/>
      <c r="I630" s="111"/>
      <c r="J630" s="111">
        <f t="shared" ref="J630" si="437">IF(H630&gt;0,H630,-I630)</f>
        <v>0</v>
      </c>
      <c r="K630" s="111"/>
      <c r="L630" s="111"/>
      <c r="M630" s="111">
        <f t="shared" ref="M630" si="438">IF(K630&gt;0,K630,-L630)</f>
        <v>0</v>
      </c>
      <c r="N630" s="111">
        <f t="shared" ref="N630" si="439">E630+H630+K630</f>
        <v>0</v>
      </c>
      <c r="O630" s="111">
        <f t="shared" ref="O630" si="440">F630+I630+L630</f>
        <v>0</v>
      </c>
      <c r="P630" s="111">
        <f t="shared" si="421"/>
        <v>0</v>
      </c>
      <c r="R630" s="4" t="s">
        <v>2148</v>
      </c>
    </row>
    <row r="631" spans="1:19" x14ac:dyDescent="0.25">
      <c r="A631" s="8" t="s">
        <v>350</v>
      </c>
      <c r="B631" s="4" t="str">
        <f t="shared" si="434"/>
        <v>5708</v>
      </c>
      <c r="C631" s="102">
        <v>2600</v>
      </c>
      <c r="E631" s="34">
        <f>VLOOKUP($B631,Town_Sage!$A$5:$D$399,3,0)</f>
        <v>2614.9</v>
      </c>
      <c r="F631" s="34">
        <f>VLOOKUP($B631,Town_Sage!$A$5:$D$399,4,0)</f>
        <v>0</v>
      </c>
      <c r="G631" s="34">
        <f t="shared" si="417"/>
        <v>2614.9</v>
      </c>
      <c r="H631" s="34"/>
      <c r="I631" s="34"/>
      <c r="J631" s="34">
        <f t="shared" si="413"/>
        <v>0</v>
      </c>
      <c r="K631" s="34"/>
      <c r="L631" s="34"/>
      <c r="M631" s="34">
        <f t="shared" si="414"/>
        <v>0</v>
      </c>
      <c r="N631" s="34">
        <f t="shared" si="418"/>
        <v>2614.9</v>
      </c>
      <c r="O631" s="34">
        <f t="shared" si="419"/>
        <v>0</v>
      </c>
      <c r="P631" s="34">
        <f t="shared" si="421"/>
        <v>2614.9</v>
      </c>
    </row>
    <row r="632" spans="1:19" x14ac:dyDescent="0.25">
      <c r="A632" s="8" t="s">
        <v>5</v>
      </c>
      <c r="C632" s="103">
        <f t="shared" ref="C632:D632" si="441">SUM(C625:C631)</f>
        <v>8204</v>
      </c>
      <c r="D632" s="99">
        <f t="shared" si="441"/>
        <v>571</v>
      </c>
      <c r="E632" s="35">
        <f>SUM(E625:E631)</f>
        <v>4472.2</v>
      </c>
      <c r="F632" s="35">
        <f t="shared" ref="F632:P632" si="442">SUM(F625:F631)</f>
        <v>0</v>
      </c>
      <c r="G632" s="35">
        <f t="shared" si="442"/>
        <v>4472.2</v>
      </c>
      <c r="H632" s="35">
        <f t="shared" si="442"/>
        <v>0</v>
      </c>
      <c r="I632" s="35">
        <f t="shared" si="442"/>
        <v>0</v>
      </c>
      <c r="J632" s="35">
        <f t="shared" si="442"/>
        <v>0</v>
      </c>
      <c r="K632" s="35">
        <f t="shared" si="442"/>
        <v>0</v>
      </c>
      <c r="L632" s="35">
        <f t="shared" si="442"/>
        <v>0</v>
      </c>
      <c r="M632" s="35">
        <f t="shared" si="442"/>
        <v>0</v>
      </c>
      <c r="N632" s="35">
        <f t="shared" si="442"/>
        <v>4472.2</v>
      </c>
      <c r="O632" s="35">
        <f t="shared" si="442"/>
        <v>0</v>
      </c>
      <c r="P632" s="35">
        <f t="shared" si="442"/>
        <v>4472.2</v>
      </c>
    </row>
    <row r="633" spans="1:19" x14ac:dyDescent="0.25">
      <c r="C633" s="104"/>
      <c r="D633" s="100"/>
      <c r="E633" s="34"/>
      <c r="F633" s="34"/>
      <c r="G633" s="34">
        <f t="shared" si="417"/>
        <v>0</v>
      </c>
      <c r="H633" s="34"/>
      <c r="I633" s="34"/>
      <c r="J633" s="34">
        <f t="shared" si="413"/>
        <v>0</v>
      </c>
      <c r="K633" s="34"/>
      <c r="L633" s="34"/>
      <c r="M633" s="34">
        <f t="shared" si="414"/>
        <v>0</v>
      </c>
      <c r="N633" s="34">
        <f t="shared" si="418"/>
        <v>0</v>
      </c>
      <c r="O633" s="34">
        <f t="shared" si="419"/>
        <v>0</v>
      </c>
      <c r="P633" s="34"/>
    </row>
    <row r="634" spans="1:19" x14ac:dyDescent="0.25">
      <c r="A634" s="9" t="s">
        <v>351</v>
      </c>
      <c r="B634" s="12" t="str">
        <f>LEFT(A634,5)</f>
        <v>44.36</v>
      </c>
      <c r="C634" s="103">
        <f t="shared" ref="C634:D634" si="443">C632</f>
        <v>8204</v>
      </c>
      <c r="D634" s="99">
        <f t="shared" si="443"/>
        <v>571</v>
      </c>
      <c r="E634" s="35">
        <f>E632</f>
        <v>4472.2</v>
      </c>
      <c r="F634" s="35">
        <f t="shared" ref="F634:P634" si="444">F632</f>
        <v>0</v>
      </c>
      <c r="G634" s="35">
        <f t="shared" si="444"/>
        <v>4472.2</v>
      </c>
      <c r="H634" s="35">
        <f t="shared" si="444"/>
        <v>0</v>
      </c>
      <c r="I634" s="35">
        <f t="shared" si="444"/>
        <v>0</v>
      </c>
      <c r="J634" s="35">
        <f t="shared" si="444"/>
        <v>0</v>
      </c>
      <c r="K634" s="35">
        <f t="shared" si="444"/>
        <v>0</v>
      </c>
      <c r="L634" s="35">
        <f t="shared" si="444"/>
        <v>0</v>
      </c>
      <c r="M634" s="35">
        <f t="shared" si="444"/>
        <v>0</v>
      </c>
      <c r="N634" s="35">
        <f t="shared" si="444"/>
        <v>4472.2</v>
      </c>
      <c r="O634" s="35">
        <f t="shared" si="444"/>
        <v>0</v>
      </c>
      <c r="P634" s="35">
        <f t="shared" si="444"/>
        <v>4472.2</v>
      </c>
    </row>
    <row r="635" spans="1:19" x14ac:dyDescent="0.25">
      <c r="E635" s="34"/>
      <c r="F635" s="34"/>
      <c r="G635" s="34">
        <f t="shared" si="417"/>
        <v>0</v>
      </c>
      <c r="H635" s="34"/>
      <c r="I635" s="34"/>
      <c r="J635" s="34">
        <f t="shared" si="413"/>
        <v>0</v>
      </c>
      <c r="K635" s="34"/>
      <c r="L635" s="34"/>
      <c r="M635" s="34">
        <f t="shared" si="414"/>
        <v>0</v>
      </c>
      <c r="N635" s="34">
        <f t="shared" si="418"/>
        <v>0</v>
      </c>
      <c r="O635" s="34">
        <f t="shared" si="419"/>
        <v>0</v>
      </c>
      <c r="P635" s="34"/>
    </row>
    <row r="636" spans="1:19" x14ac:dyDescent="0.25">
      <c r="A636" s="8" t="s">
        <v>352</v>
      </c>
      <c r="B636" s="4" t="str">
        <f>LEFT(A636,4)</f>
        <v>5501</v>
      </c>
      <c r="C636" s="102">
        <v>0</v>
      </c>
      <c r="D636" s="98">
        <v>0</v>
      </c>
      <c r="E636" s="34">
        <f>VLOOKUP($B636,Town_Sage!$A$5:$D$399,3,0)</f>
        <v>0</v>
      </c>
      <c r="F636" s="34">
        <f>VLOOKUP($B636,Town_Sage!$A$5:$D$399,4,0)</f>
        <v>0</v>
      </c>
      <c r="G636" s="34">
        <f t="shared" si="417"/>
        <v>0</v>
      </c>
      <c r="H636" s="34"/>
      <c r="I636" s="34"/>
      <c r="J636" s="34">
        <f t="shared" si="413"/>
        <v>0</v>
      </c>
      <c r="K636" s="34"/>
      <c r="L636" s="34"/>
      <c r="M636" s="34">
        <f t="shared" si="414"/>
        <v>0</v>
      </c>
      <c r="N636" s="34">
        <f t="shared" si="418"/>
        <v>0</v>
      </c>
      <c r="O636" s="34">
        <f t="shared" si="419"/>
        <v>0</v>
      </c>
      <c r="P636" s="34">
        <f t="shared" ref="P636:P637" si="445">IF(N636&gt;0,N636,-O636)</f>
        <v>0</v>
      </c>
    </row>
    <row r="637" spans="1:19" x14ac:dyDescent="0.25">
      <c r="A637" s="8" t="s">
        <v>2054</v>
      </c>
      <c r="B637" s="4" t="s">
        <v>1355</v>
      </c>
      <c r="C637" s="105">
        <v>12000</v>
      </c>
      <c r="D637" s="98">
        <v>2000</v>
      </c>
      <c r="E637" s="34">
        <f>VLOOKUP($B637,Town_Sage!$A$5:$D$399,3,0)</f>
        <v>6782.87</v>
      </c>
      <c r="F637" s="34">
        <f>VLOOKUP($B637,Town_Sage!$A$5:$D$399,4,0)</f>
        <v>0</v>
      </c>
      <c r="G637" s="34">
        <f t="shared" ref="G637" si="446">IF(E637&gt;0,E637,-F637)</f>
        <v>6782.87</v>
      </c>
      <c r="H637" s="34"/>
      <c r="I637" s="34"/>
      <c r="J637" s="34">
        <f t="shared" si="413"/>
        <v>0</v>
      </c>
      <c r="K637" s="34"/>
      <c r="L637" s="34"/>
      <c r="M637" s="34">
        <f t="shared" si="414"/>
        <v>0</v>
      </c>
      <c r="N637" s="34">
        <f t="shared" ref="N637" si="447">E637+H637+K637</f>
        <v>6782.87</v>
      </c>
      <c r="O637" s="34">
        <f t="shared" ref="O637" si="448">F637+I637+L637</f>
        <v>0</v>
      </c>
      <c r="P637" s="34">
        <f t="shared" si="445"/>
        <v>6782.87</v>
      </c>
      <c r="R637" s="4" t="s">
        <v>2149</v>
      </c>
    </row>
    <row r="638" spans="1:19" x14ac:dyDescent="0.25">
      <c r="A638" s="8" t="s">
        <v>5</v>
      </c>
      <c r="C638" s="103">
        <f t="shared" ref="C638:D638" si="449">SUM(C636:C637)</f>
        <v>12000</v>
      </c>
      <c r="D638" s="99">
        <f t="shared" si="449"/>
        <v>2000</v>
      </c>
      <c r="E638" s="35">
        <f>SUM(E636:E637)</f>
        <v>6782.87</v>
      </c>
      <c r="F638" s="35">
        <f t="shared" ref="F638:P638" si="450">SUM(F636:F637)</f>
        <v>0</v>
      </c>
      <c r="G638" s="35">
        <f t="shared" si="450"/>
        <v>6782.87</v>
      </c>
      <c r="H638" s="35">
        <f t="shared" si="450"/>
        <v>0</v>
      </c>
      <c r="I638" s="35">
        <f t="shared" si="450"/>
        <v>0</v>
      </c>
      <c r="J638" s="35">
        <f t="shared" si="450"/>
        <v>0</v>
      </c>
      <c r="K638" s="35">
        <f t="shared" si="450"/>
        <v>0</v>
      </c>
      <c r="L638" s="35">
        <f t="shared" si="450"/>
        <v>0</v>
      </c>
      <c r="M638" s="35">
        <f t="shared" si="450"/>
        <v>0</v>
      </c>
      <c r="N638" s="35">
        <f t="shared" si="450"/>
        <v>6782.87</v>
      </c>
      <c r="O638" s="35">
        <f t="shared" si="450"/>
        <v>0</v>
      </c>
      <c r="P638" s="35">
        <f t="shared" si="450"/>
        <v>6782.87</v>
      </c>
    </row>
    <row r="639" spans="1:19" x14ac:dyDescent="0.25">
      <c r="C639" s="104"/>
      <c r="D639" s="100"/>
      <c r="E639" s="34"/>
      <c r="F639" s="34"/>
      <c r="G639" s="34">
        <f t="shared" si="417"/>
        <v>0</v>
      </c>
      <c r="H639" s="34"/>
      <c r="I639" s="34"/>
      <c r="J639" s="34">
        <f t="shared" si="413"/>
        <v>0</v>
      </c>
      <c r="K639" s="34"/>
      <c r="L639" s="34"/>
      <c r="M639" s="34">
        <f t="shared" si="414"/>
        <v>0</v>
      </c>
      <c r="N639" s="34">
        <f t="shared" si="418"/>
        <v>0</v>
      </c>
      <c r="O639" s="34">
        <f t="shared" si="419"/>
        <v>0</v>
      </c>
      <c r="P639" s="34"/>
    </row>
    <row r="640" spans="1:19" x14ac:dyDescent="0.25">
      <c r="A640" s="9" t="s">
        <v>353</v>
      </c>
      <c r="B640" s="12" t="str">
        <f>LEFT(A640,5)</f>
        <v>44.38</v>
      </c>
      <c r="C640" s="103">
        <f t="shared" ref="C640:D640" si="451">C638</f>
        <v>12000</v>
      </c>
      <c r="D640" s="99">
        <f t="shared" si="451"/>
        <v>2000</v>
      </c>
      <c r="E640" s="35">
        <f>E638</f>
        <v>6782.87</v>
      </c>
      <c r="F640" s="35">
        <f t="shared" ref="F640:P640" si="452">F638</f>
        <v>0</v>
      </c>
      <c r="G640" s="35">
        <f t="shared" si="452"/>
        <v>6782.87</v>
      </c>
      <c r="H640" s="35">
        <f t="shared" si="452"/>
        <v>0</v>
      </c>
      <c r="I640" s="35">
        <f t="shared" si="452"/>
        <v>0</v>
      </c>
      <c r="J640" s="35">
        <f t="shared" si="452"/>
        <v>0</v>
      </c>
      <c r="K640" s="35">
        <f t="shared" si="452"/>
        <v>0</v>
      </c>
      <c r="L640" s="35">
        <f t="shared" si="452"/>
        <v>0</v>
      </c>
      <c r="M640" s="35">
        <f t="shared" si="452"/>
        <v>0</v>
      </c>
      <c r="N640" s="35">
        <f t="shared" si="452"/>
        <v>6782.87</v>
      </c>
      <c r="O640" s="35">
        <f t="shared" si="452"/>
        <v>0</v>
      </c>
      <c r="P640" s="35">
        <f t="shared" si="452"/>
        <v>6782.87</v>
      </c>
    </row>
    <row r="641" spans="1:19" x14ac:dyDescent="0.25">
      <c r="E641" s="34"/>
      <c r="F641" s="34"/>
      <c r="G641" s="34">
        <f t="shared" si="417"/>
        <v>0</v>
      </c>
      <c r="H641" s="34"/>
      <c r="I641" s="34"/>
      <c r="J641" s="34">
        <f t="shared" si="413"/>
        <v>0</v>
      </c>
      <c r="K641" s="34"/>
      <c r="L641" s="34"/>
      <c r="M641" s="34">
        <f t="shared" si="414"/>
        <v>0</v>
      </c>
      <c r="N641" s="34">
        <f t="shared" si="418"/>
        <v>0</v>
      </c>
      <c r="O641" s="34">
        <f t="shared" si="419"/>
        <v>0</v>
      </c>
      <c r="P641" s="34"/>
    </row>
    <row r="642" spans="1:19" x14ac:dyDescent="0.25">
      <c r="A642" s="8" t="s">
        <v>354</v>
      </c>
      <c r="B642" s="4" t="str">
        <f>LEFT(A642,4)</f>
        <v>5803</v>
      </c>
      <c r="C642" s="102">
        <v>62541</v>
      </c>
      <c r="D642" s="98">
        <v>-54731</v>
      </c>
      <c r="E642" s="34">
        <f>VLOOKUP($B642,Town_Sage!$A$5:$D$399,3,0)</f>
        <v>114361.13</v>
      </c>
      <c r="F642" s="34">
        <f>VLOOKUP($B642,Town_Sage!$A$5:$D$399,4,0)</f>
        <v>0</v>
      </c>
      <c r="G642" s="34">
        <f t="shared" si="417"/>
        <v>114361.13</v>
      </c>
      <c r="H642" s="34"/>
      <c r="I642" s="34"/>
      <c r="J642" s="34">
        <f t="shared" si="413"/>
        <v>0</v>
      </c>
      <c r="K642" s="34"/>
      <c r="L642" s="34"/>
      <c r="M642" s="34">
        <f t="shared" si="414"/>
        <v>0</v>
      </c>
      <c r="N642" s="34">
        <f t="shared" si="418"/>
        <v>114361.13</v>
      </c>
      <c r="O642" s="34">
        <f t="shared" si="419"/>
        <v>0</v>
      </c>
      <c r="P642" s="34">
        <f t="shared" si="421"/>
        <v>114361.13</v>
      </c>
      <c r="R642" s="4">
        <v>59630</v>
      </c>
      <c r="S642" s="98">
        <f>R642-P642</f>
        <v>-54731.130000000005</v>
      </c>
    </row>
    <row r="643" spans="1:19" x14ac:dyDescent="0.25">
      <c r="A643" s="114" t="s">
        <v>2290</v>
      </c>
      <c r="B643" s="86" t="str">
        <f>LEFT(A643,4)</f>
        <v>5810</v>
      </c>
      <c r="C643" s="105">
        <v>65447</v>
      </c>
      <c r="D643" s="101">
        <v>60106</v>
      </c>
      <c r="E643" s="111">
        <f>VLOOKUP($B643,Town_Sage!$A$5:$D$399,3,0)</f>
        <v>0</v>
      </c>
      <c r="F643" s="111">
        <f>VLOOKUP($B643,Town_Sage!$A$5:$D$399,4,0)</f>
        <v>0</v>
      </c>
      <c r="G643" s="111">
        <f t="shared" ref="G643" si="453">IF(E643&gt;0,E643,-F643)</f>
        <v>0</v>
      </c>
      <c r="H643" s="111"/>
      <c r="I643" s="111"/>
      <c r="J643" s="111">
        <f t="shared" ref="J643" si="454">IF(H643&gt;0,H643,-I643)</f>
        <v>0</v>
      </c>
      <c r="K643" s="111"/>
      <c r="L643" s="111"/>
      <c r="M643" s="111">
        <f t="shared" ref="M643" si="455">IF(K643&gt;0,K643,-L643)</f>
        <v>0</v>
      </c>
      <c r="N643" s="111">
        <f t="shared" ref="N643" si="456">E643+H643+K643</f>
        <v>0</v>
      </c>
      <c r="O643" s="111">
        <f t="shared" ref="O643" si="457">F643+I643+L643</f>
        <v>0</v>
      </c>
      <c r="P643" s="111">
        <f t="shared" ref="P643" si="458">IF(N643&gt;0,N643,-O643)</f>
        <v>0</v>
      </c>
      <c r="R643" s="4">
        <v>60106</v>
      </c>
      <c r="S643" s="4" t="s">
        <v>2291</v>
      </c>
    </row>
    <row r="644" spans="1:19" x14ac:dyDescent="0.25">
      <c r="A644" s="8" t="s">
        <v>355</v>
      </c>
      <c r="B644" s="4" t="str">
        <f>LEFT(A644,4)</f>
        <v>5827</v>
      </c>
      <c r="E644" s="34">
        <f>VLOOKUP($B644,Town_Sage!$A$5:$D$399,3,0)</f>
        <v>482.04</v>
      </c>
      <c r="F644" s="34">
        <f>VLOOKUP($B644,Town_Sage!$A$5:$D$399,4,0)</f>
        <v>0</v>
      </c>
      <c r="G644" s="34">
        <f t="shared" si="417"/>
        <v>482.04</v>
      </c>
      <c r="H644" s="34"/>
      <c r="I644" s="34"/>
      <c r="J644" s="34">
        <f t="shared" si="413"/>
        <v>0</v>
      </c>
      <c r="K644" s="34"/>
      <c r="L644" s="34"/>
      <c r="M644" s="34">
        <f t="shared" si="414"/>
        <v>0</v>
      </c>
      <c r="N644" s="34">
        <f t="shared" si="418"/>
        <v>482.04</v>
      </c>
      <c r="O644" s="34">
        <f t="shared" si="419"/>
        <v>0</v>
      </c>
      <c r="P644" s="34">
        <f t="shared" si="421"/>
        <v>482.04</v>
      </c>
    </row>
    <row r="645" spans="1:19" x14ac:dyDescent="0.25">
      <c r="A645" s="8" t="s">
        <v>356</v>
      </c>
      <c r="B645" s="4" t="str">
        <f>LEFT(A645,4)</f>
        <v>5830</v>
      </c>
      <c r="E645" s="34">
        <f>VLOOKUP($B645,Town_Sage!$A$5:$D$399,3,0)</f>
        <v>200.8</v>
      </c>
      <c r="F645" s="34">
        <f>VLOOKUP($B645,Town_Sage!$A$5:$D$399,4,0)</f>
        <v>0</v>
      </c>
      <c r="G645" s="34">
        <f t="shared" si="417"/>
        <v>200.8</v>
      </c>
      <c r="H645" s="34"/>
      <c r="I645" s="34"/>
      <c r="J645" s="34">
        <f t="shared" si="413"/>
        <v>0</v>
      </c>
      <c r="K645" s="34"/>
      <c r="L645" s="34"/>
      <c r="M645" s="34">
        <f t="shared" si="414"/>
        <v>0</v>
      </c>
      <c r="N645" s="34">
        <f t="shared" si="418"/>
        <v>200.8</v>
      </c>
      <c r="O645" s="34">
        <f t="shared" si="419"/>
        <v>0</v>
      </c>
      <c r="P645" s="34">
        <f t="shared" si="421"/>
        <v>200.8</v>
      </c>
    </row>
    <row r="646" spans="1:19" x14ac:dyDescent="0.25">
      <c r="A646" s="8" t="s">
        <v>5</v>
      </c>
      <c r="C646" s="103">
        <f t="shared" ref="C646:D646" si="459">SUM(C642:C645)</f>
        <v>127988</v>
      </c>
      <c r="D646" s="99">
        <f t="shared" si="459"/>
        <v>5375</v>
      </c>
      <c r="E646" s="35">
        <f>SUM(E642:E645)</f>
        <v>115043.97</v>
      </c>
      <c r="F646" s="35">
        <f t="shared" ref="F646:P646" si="460">SUM(F642:F645)</f>
        <v>0</v>
      </c>
      <c r="G646" s="35">
        <f t="shared" si="460"/>
        <v>115043.97</v>
      </c>
      <c r="H646" s="35">
        <f t="shared" si="460"/>
        <v>0</v>
      </c>
      <c r="I646" s="35">
        <f t="shared" si="460"/>
        <v>0</v>
      </c>
      <c r="J646" s="35">
        <f t="shared" si="460"/>
        <v>0</v>
      </c>
      <c r="K646" s="35">
        <f t="shared" si="460"/>
        <v>0</v>
      </c>
      <c r="L646" s="35">
        <f t="shared" si="460"/>
        <v>0</v>
      </c>
      <c r="M646" s="35">
        <f t="shared" si="460"/>
        <v>0</v>
      </c>
      <c r="N646" s="35">
        <f t="shared" si="460"/>
        <v>115043.97</v>
      </c>
      <c r="O646" s="35">
        <f t="shared" si="460"/>
        <v>0</v>
      </c>
      <c r="P646" s="35">
        <f t="shared" si="460"/>
        <v>115043.97</v>
      </c>
    </row>
    <row r="647" spans="1:19" x14ac:dyDescent="0.25">
      <c r="C647" s="104"/>
      <c r="D647" s="100"/>
      <c r="E647" s="34"/>
      <c r="F647" s="34"/>
      <c r="G647" s="34">
        <f t="shared" si="417"/>
        <v>0</v>
      </c>
      <c r="H647" s="34"/>
      <c r="I647" s="34"/>
      <c r="J647" s="34">
        <f t="shared" si="413"/>
        <v>0</v>
      </c>
      <c r="K647" s="34"/>
      <c r="L647" s="34"/>
      <c r="M647" s="34">
        <f t="shared" si="414"/>
        <v>0</v>
      </c>
      <c r="N647" s="34">
        <f t="shared" si="418"/>
        <v>0</v>
      </c>
      <c r="O647" s="34">
        <f t="shared" si="419"/>
        <v>0</v>
      </c>
      <c r="P647" s="34"/>
    </row>
    <row r="648" spans="1:19" x14ac:dyDescent="0.25">
      <c r="A648" s="9" t="s">
        <v>357</v>
      </c>
      <c r="B648" s="12" t="str">
        <f>LEFT(A648,5)</f>
        <v>45. 1</v>
      </c>
      <c r="C648" s="103">
        <f t="shared" ref="C648:D648" si="461">C646</f>
        <v>127988</v>
      </c>
      <c r="D648" s="99">
        <f t="shared" si="461"/>
        <v>5375</v>
      </c>
      <c r="E648" s="35">
        <f>E646</f>
        <v>115043.97</v>
      </c>
      <c r="F648" s="35">
        <f t="shared" ref="F648:P648" si="462">F646</f>
        <v>0</v>
      </c>
      <c r="G648" s="35">
        <f t="shared" si="462"/>
        <v>115043.97</v>
      </c>
      <c r="H648" s="35">
        <f t="shared" si="462"/>
        <v>0</v>
      </c>
      <c r="I648" s="35">
        <f t="shared" si="462"/>
        <v>0</v>
      </c>
      <c r="J648" s="35">
        <f t="shared" si="462"/>
        <v>0</v>
      </c>
      <c r="K648" s="35">
        <f t="shared" si="462"/>
        <v>0</v>
      </c>
      <c r="L648" s="35">
        <f t="shared" si="462"/>
        <v>0</v>
      </c>
      <c r="M648" s="35">
        <f t="shared" si="462"/>
        <v>0</v>
      </c>
      <c r="N648" s="35">
        <f t="shared" si="462"/>
        <v>115043.97</v>
      </c>
      <c r="O648" s="35">
        <f t="shared" si="462"/>
        <v>0</v>
      </c>
      <c r="P648" s="35">
        <f t="shared" si="462"/>
        <v>115043.97</v>
      </c>
    </row>
    <row r="649" spans="1:19" x14ac:dyDescent="0.25">
      <c r="E649" s="34"/>
      <c r="F649" s="34"/>
      <c r="G649" s="34">
        <f t="shared" si="417"/>
        <v>0</v>
      </c>
      <c r="H649" s="34"/>
      <c r="I649" s="34"/>
      <c r="J649" s="34">
        <f t="shared" si="413"/>
        <v>0</v>
      </c>
      <c r="K649" s="34"/>
      <c r="L649" s="34"/>
      <c r="M649" s="34">
        <f t="shared" si="414"/>
        <v>0</v>
      </c>
      <c r="N649" s="34">
        <f t="shared" si="418"/>
        <v>0</v>
      </c>
      <c r="O649" s="34">
        <f t="shared" si="419"/>
        <v>0</v>
      </c>
      <c r="P649" s="34"/>
    </row>
    <row r="650" spans="1:19" x14ac:dyDescent="0.25">
      <c r="A650" s="8" t="s">
        <v>358</v>
      </c>
      <c r="B650" s="4" t="str">
        <f>LEFT(A650,4)</f>
        <v>5349</v>
      </c>
      <c r="C650" s="102">
        <v>1000</v>
      </c>
      <c r="E650" s="34">
        <f>VLOOKUP($B650,Town_Sage!$A$5:$D$399,3,0)</f>
        <v>296.24</v>
      </c>
      <c r="F650" s="34">
        <f>VLOOKUP($B650,Town_Sage!$A$5:$D$399,4,0)</f>
        <v>0</v>
      </c>
      <c r="G650" s="34">
        <f t="shared" si="417"/>
        <v>296.24</v>
      </c>
      <c r="H650" s="34"/>
      <c r="I650" s="34"/>
      <c r="J650" s="34">
        <f t="shared" si="413"/>
        <v>0</v>
      </c>
      <c r="K650" s="34"/>
      <c r="L650" s="34"/>
      <c r="M650" s="34">
        <f t="shared" si="414"/>
        <v>0</v>
      </c>
      <c r="N650" s="34">
        <f t="shared" si="418"/>
        <v>296.24</v>
      </c>
      <c r="O650" s="34">
        <f t="shared" si="419"/>
        <v>0</v>
      </c>
      <c r="P650" s="34">
        <f t="shared" si="421"/>
        <v>296.24</v>
      </c>
    </row>
    <row r="651" spans="1:19" x14ac:dyDescent="0.25">
      <c r="A651" s="8" t="s">
        <v>359</v>
      </c>
      <c r="B651" s="4" t="str">
        <f>LEFT(A651,4)</f>
        <v>5848</v>
      </c>
      <c r="C651" s="102">
        <v>2000</v>
      </c>
      <c r="E651" s="34">
        <f>VLOOKUP($B651,Town_Sage!$A$5:$D$399,3,0)</f>
        <v>1441.37</v>
      </c>
      <c r="F651" s="34">
        <f>VLOOKUP($B651,Town_Sage!$A$5:$D$399,4,0)</f>
        <v>0</v>
      </c>
      <c r="G651" s="34">
        <f t="shared" si="417"/>
        <v>1441.37</v>
      </c>
      <c r="H651" s="34"/>
      <c r="I651" s="34"/>
      <c r="J651" s="34">
        <f t="shared" si="413"/>
        <v>0</v>
      </c>
      <c r="K651" s="34"/>
      <c r="L651" s="34"/>
      <c r="M651" s="34">
        <f t="shared" si="414"/>
        <v>0</v>
      </c>
      <c r="N651" s="34">
        <f t="shared" si="418"/>
        <v>1441.37</v>
      </c>
      <c r="O651" s="34">
        <f t="shared" si="419"/>
        <v>0</v>
      </c>
      <c r="P651" s="34">
        <f t="shared" si="421"/>
        <v>1441.37</v>
      </c>
    </row>
    <row r="652" spans="1:19" x14ac:dyDescent="0.25">
      <c r="A652" s="8" t="s">
        <v>5</v>
      </c>
      <c r="C652" s="103">
        <f t="shared" ref="C652:D652" si="463">SUM(C650:C651)</f>
        <v>3000</v>
      </c>
      <c r="D652" s="99">
        <f t="shared" si="463"/>
        <v>0</v>
      </c>
      <c r="E652" s="35">
        <f>SUM(E650:E651)</f>
        <v>1737.61</v>
      </c>
      <c r="F652" s="35">
        <f t="shared" ref="F652:P652" si="464">SUM(F650:F651)</f>
        <v>0</v>
      </c>
      <c r="G652" s="35">
        <f t="shared" si="464"/>
        <v>1737.61</v>
      </c>
      <c r="H652" s="35">
        <f t="shared" si="464"/>
        <v>0</v>
      </c>
      <c r="I652" s="35">
        <f t="shared" si="464"/>
        <v>0</v>
      </c>
      <c r="J652" s="35">
        <f t="shared" si="464"/>
        <v>0</v>
      </c>
      <c r="K652" s="35">
        <f t="shared" si="464"/>
        <v>0</v>
      </c>
      <c r="L652" s="35">
        <f t="shared" si="464"/>
        <v>0</v>
      </c>
      <c r="M652" s="35">
        <f t="shared" si="464"/>
        <v>0</v>
      </c>
      <c r="N652" s="35">
        <f t="shared" si="464"/>
        <v>1737.61</v>
      </c>
      <c r="O652" s="35">
        <f t="shared" si="464"/>
        <v>0</v>
      </c>
      <c r="P652" s="35">
        <f t="shared" si="464"/>
        <v>1737.61</v>
      </c>
    </row>
    <row r="653" spans="1:19" x14ac:dyDescent="0.25">
      <c r="C653" s="104"/>
      <c r="D653" s="100"/>
      <c r="E653" s="34"/>
      <c r="F653" s="34"/>
      <c r="G653" s="34">
        <f t="shared" si="417"/>
        <v>0</v>
      </c>
      <c r="H653" s="34"/>
      <c r="I653" s="34"/>
      <c r="J653" s="34">
        <f t="shared" si="413"/>
        <v>0</v>
      </c>
      <c r="K653" s="34"/>
      <c r="L653" s="34"/>
      <c r="M653" s="34">
        <f t="shared" si="414"/>
        <v>0</v>
      </c>
      <c r="N653" s="34">
        <f t="shared" si="418"/>
        <v>0</v>
      </c>
      <c r="O653" s="34">
        <f t="shared" si="419"/>
        <v>0</v>
      </c>
      <c r="P653" s="34"/>
    </row>
    <row r="654" spans="1:19" x14ac:dyDescent="0.25">
      <c r="A654" s="89" t="s">
        <v>2055</v>
      </c>
      <c r="B654" s="12" t="str">
        <f>LEFT(A654,5)</f>
        <v>45.12</v>
      </c>
      <c r="C654" s="103">
        <f t="shared" ref="C654:D654" si="465">C652</f>
        <v>3000</v>
      </c>
      <c r="D654" s="99">
        <f t="shared" si="465"/>
        <v>0</v>
      </c>
      <c r="E654" s="35">
        <f>E652</f>
        <v>1737.61</v>
      </c>
      <c r="F654" s="35">
        <f t="shared" ref="F654:P654" si="466">F652</f>
        <v>0</v>
      </c>
      <c r="G654" s="35">
        <f t="shared" si="466"/>
        <v>1737.61</v>
      </c>
      <c r="H654" s="35">
        <f t="shared" si="466"/>
        <v>0</v>
      </c>
      <c r="I654" s="35">
        <f t="shared" si="466"/>
        <v>0</v>
      </c>
      <c r="J654" s="35">
        <f t="shared" si="466"/>
        <v>0</v>
      </c>
      <c r="K654" s="35">
        <f t="shared" si="466"/>
        <v>0</v>
      </c>
      <c r="L654" s="35">
        <f t="shared" si="466"/>
        <v>0</v>
      </c>
      <c r="M654" s="35">
        <f t="shared" si="466"/>
        <v>0</v>
      </c>
      <c r="N654" s="35">
        <f t="shared" si="466"/>
        <v>1737.61</v>
      </c>
      <c r="O654" s="35">
        <f t="shared" si="466"/>
        <v>0</v>
      </c>
      <c r="P654" s="35">
        <f t="shared" si="466"/>
        <v>1737.61</v>
      </c>
    </row>
    <row r="655" spans="1:19" x14ac:dyDescent="0.25">
      <c r="E655" s="34"/>
      <c r="F655" s="34"/>
      <c r="G655" s="34">
        <f t="shared" si="417"/>
        <v>0</v>
      </c>
      <c r="H655" s="34"/>
      <c r="I655" s="34"/>
      <c r="J655" s="34">
        <f t="shared" si="413"/>
        <v>0</v>
      </c>
      <c r="K655" s="34"/>
      <c r="L655" s="34"/>
      <c r="M655" s="34">
        <f t="shared" si="414"/>
        <v>0</v>
      </c>
      <c r="N655" s="34">
        <f t="shared" si="418"/>
        <v>0</v>
      </c>
      <c r="O655" s="34">
        <f t="shared" si="419"/>
        <v>0</v>
      </c>
      <c r="P655" s="34"/>
    </row>
    <row r="656" spans="1:19" x14ac:dyDescent="0.25">
      <c r="A656" s="8" t="s">
        <v>360</v>
      </c>
      <c r="B656" s="4" t="str">
        <f>LEFT(A656,4)</f>
        <v>5842</v>
      </c>
      <c r="C656" s="102">
        <v>0</v>
      </c>
      <c r="D656" s="98">
        <v>0</v>
      </c>
      <c r="E656" s="34">
        <f>VLOOKUP($B656,Town_Sage!$A$5:$D$399,3,0)</f>
        <v>0</v>
      </c>
      <c r="F656" s="34">
        <f>VLOOKUP($B656,Town_Sage!$A$5:$D$399,4,0)</f>
        <v>0</v>
      </c>
      <c r="G656" s="34">
        <f t="shared" si="417"/>
        <v>0</v>
      </c>
      <c r="H656" s="34"/>
      <c r="I656" s="34"/>
      <c r="J656" s="34">
        <f t="shared" si="413"/>
        <v>0</v>
      </c>
      <c r="K656" s="34"/>
      <c r="L656" s="34"/>
      <c r="M656" s="34">
        <f t="shared" si="414"/>
        <v>0</v>
      </c>
      <c r="N656" s="34">
        <f t="shared" si="418"/>
        <v>0</v>
      </c>
      <c r="O656" s="34">
        <f t="shared" si="419"/>
        <v>0</v>
      </c>
      <c r="P656" s="34">
        <f t="shared" si="421"/>
        <v>0</v>
      </c>
    </row>
    <row r="657" spans="1:19" x14ac:dyDescent="0.25">
      <c r="A657" s="8" t="s">
        <v>5</v>
      </c>
      <c r="C657" s="103">
        <f t="shared" ref="C657:D657" si="467">C656</f>
        <v>0</v>
      </c>
      <c r="D657" s="99">
        <f t="shared" si="467"/>
        <v>0</v>
      </c>
      <c r="E657" s="35">
        <f>E656</f>
        <v>0</v>
      </c>
      <c r="F657" s="35">
        <f t="shared" ref="F657:P657" si="468">F656</f>
        <v>0</v>
      </c>
      <c r="G657" s="35">
        <f t="shared" si="468"/>
        <v>0</v>
      </c>
      <c r="H657" s="35">
        <f t="shared" si="468"/>
        <v>0</v>
      </c>
      <c r="I657" s="35">
        <f t="shared" si="468"/>
        <v>0</v>
      </c>
      <c r="J657" s="35">
        <f t="shared" si="468"/>
        <v>0</v>
      </c>
      <c r="K657" s="35">
        <f t="shared" si="468"/>
        <v>0</v>
      </c>
      <c r="L657" s="35">
        <f t="shared" si="468"/>
        <v>0</v>
      </c>
      <c r="M657" s="35">
        <f t="shared" si="468"/>
        <v>0</v>
      </c>
      <c r="N657" s="35">
        <f t="shared" si="468"/>
        <v>0</v>
      </c>
      <c r="O657" s="35">
        <f t="shared" si="468"/>
        <v>0</v>
      </c>
      <c r="P657" s="35">
        <f t="shared" si="468"/>
        <v>0</v>
      </c>
    </row>
    <row r="658" spans="1:19" x14ac:dyDescent="0.25">
      <c r="C658" s="104"/>
      <c r="D658" s="100"/>
      <c r="E658" s="34"/>
      <c r="F658" s="34"/>
      <c r="G658" s="34">
        <f t="shared" si="417"/>
        <v>0</v>
      </c>
      <c r="H658" s="34"/>
      <c r="I658" s="34"/>
      <c r="J658" s="34">
        <f t="shared" si="413"/>
        <v>0</v>
      </c>
      <c r="K658" s="34"/>
      <c r="L658" s="34"/>
      <c r="M658" s="34">
        <f t="shared" si="414"/>
        <v>0</v>
      </c>
      <c r="N658" s="34">
        <f t="shared" si="418"/>
        <v>0</v>
      </c>
      <c r="O658" s="34">
        <f t="shared" si="419"/>
        <v>0</v>
      </c>
      <c r="P658" s="34"/>
    </row>
    <row r="659" spans="1:19" x14ac:dyDescent="0.25">
      <c r="A659" s="9" t="s">
        <v>361</v>
      </c>
      <c r="B659" s="12" t="str">
        <f>LEFT(A659,5)</f>
        <v>45.14</v>
      </c>
      <c r="C659" s="103">
        <f t="shared" ref="C659:D659" si="469">C657</f>
        <v>0</v>
      </c>
      <c r="D659" s="99">
        <f t="shared" si="469"/>
        <v>0</v>
      </c>
      <c r="E659" s="35">
        <f>E657</f>
        <v>0</v>
      </c>
      <c r="F659" s="35">
        <f t="shared" ref="F659:P659" si="470">F657</f>
        <v>0</v>
      </c>
      <c r="G659" s="35">
        <f t="shared" si="470"/>
        <v>0</v>
      </c>
      <c r="H659" s="35">
        <f t="shared" si="470"/>
        <v>0</v>
      </c>
      <c r="I659" s="35">
        <f t="shared" si="470"/>
        <v>0</v>
      </c>
      <c r="J659" s="35">
        <f t="shared" si="470"/>
        <v>0</v>
      </c>
      <c r="K659" s="35">
        <f t="shared" si="470"/>
        <v>0</v>
      </c>
      <c r="L659" s="35">
        <f t="shared" si="470"/>
        <v>0</v>
      </c>
      <c r="M659" s="35">
        <f t="shared" si="470"/>
        <v>0</v>
      </c>
      <c r="N659" s="35">
        <f t="shared" si="470"/>
        <v>0</v>
      </c>
      <c r="O659" s="35">
        <f t="shared" si="470"/>
        <v>0</v>
      </c>
      <c r="P659" s="35">
        <f t="shared" si="470"/>
        <v>0</v>
      </c>
    </row>
    <row r="660" spans="1:19" x14ac:dyDescent="0.25">
      <c r="E660" s="34"/>
      <c r="F660" s="34"/>
      <c r="G660" s="34">
        <f t="shared" si="417"/>
        <v>0</v>
      </c>
      <c r="H660" s="34"/>
      <c r="I660" s="34"/>
      <c r="J660" s="34">
        <f t="shared" si="413"/>
        <v>0</v>
      </c>
      <c r="K660" s="34"/>
      <c r="L660" s="34"/>
      <c r="M660" s="34">
        <f t="shared" si="414"/>
        <v>0</v>
      </c>
      <c r="N660" s="34">
        <f t="shared" si="418"/>
        <v>0</v>
      </c>
      <c r="O660" s="34">
        <f t="shared" si="419"/>
        <v>0</v>
      </c>
      <c r="P660" s="34"/>
    </row>
    <row r="661" spans="1:19" x14ac:dyDescent="0.25">
      <c r="A661" s="8" t="s">
        <v>362</v>
      </c>
      <c r="B661" s="4" t="str">
        <f>LEFT(A661,4)</f>
        <v>5839</v>
      </c>
      <c r="E661" s="34">
        <f>VLOOKUP($B661,Town_Sage!$A$5:$D$399,3,0)</f>
        <v>0</v>
      </c>
      <c r="F661" s="34">
        <f>VLOOKUP($B661,Town_Sage!$A$5:$D$399,4,0)</f>
        <v>0</v>
      </c>
      <c r="G661" s="34">
        <f t="shared" si="417"/>
        <v>0</v>
      </c>
      <c r="H661" s="34"/>
      <c r="I661" s="34"/>
      <c r="J661" s="34">
        <f t="shared" si="413"/>
        <v>0</v>
      </c>
      <c r="K661" s="34"/>
      <c r="L661" s="34"/>
      <c r="M661" s="34">
        <f t="shared" si="414"/>
        <v>0</v>
      </c>
      <c r="N661" s="34">
        <f t="shared" si="418"/>
        <v>0</v>
      </c>
      <c r="O661" s="34">
        <f t="shared" si="419"/>
        <v>0</v>
      </c>
      <c r="P661" s="34">
        <f t="shared" si="421"/>
        <v>0</v>
      </c>
    </row>
    <row r="662" spans="1:19" x14ac:dyDescent="0.25">
      <c r="A662" s="8" t="s">
        <v>363</v>
      </c>
      <c r="B662" s="4" t="str">
        <f>LEFT(A662,4)</f>
        <v>5872</v>
      </c>
      <c r="C662" s="102">
        <v>1000</v>
      </c>
      <c r="D662" s="101">
        <v>-8000</v>
      </c>
      <c r="E662" s="111">
        <f>VLOOKUP($B662,Town_Sage!$A$5:$D$399,3,0)</f>
        <v>10236.66</v>
      </c>
      <c r="F662" s="111">
        <f>VLOOKUP($B662,Town_Sage!$A$5:$D$399,4,0)</f>
        <v>0</v>
      </c>
      <c r="G662" s="111">
        <f t="shared" si="417"/>
        <v>10236.66</v>
      </c>
      <c r="H662" s="111"/>
      <c r="I662" s="111"/>
      <c r="J662" s="111">
        <f t="shared" si="413"/>
        <v>0</v>
      </c>
      <c r="K662" s="111"/>
      <c r="L662" s="111"/>
      <c r="M662" s="111">
        <f t="shared" si="414"/>
        <v>0</v>
      </c>
      <c r="N662" s="111">
        <f t="shared" si="418"/>
        <v>10236.66</v>
      </c>
      <c r="O662" s="111">
        <f t="shared" si="419"/>
        <v>0</v>
      </c>
      <c r="P662" s="111">
        <f t="shared" si="421"/>
        <v>10236.66</v>
      </c>
      <c r="R662" s="86" t="s">
        <v>2150</v>
      </c>
      <c r="S662" s="86" t="s">
        <v>2289</v>
      </c>
    </row>
    <row r="663" spans="1:19" x14ac:dyDescent="0.25">
      <c r="A663" s="8" t="s">
        <v>364</v>
      </c>
      <c r="B663" s="4" t="str">
        <f>LEFT(A663,4)</f>
        <v>5873</v>
      </c>
      <c r="C663" s="102">
        <v>1000</v>
      </c>
      <c r="E663" s="34">
        <f>VLOOKUP($B663,Town_Sage!$A$5:$D$399,3,0)</f>
        <v>334.64</v>
      </c>
      <c r="F663" s="34">
        <f>VLOOKUP($B663,Town_Sage!$A$5:$D$399,4,0)</f>
        <v>0</v>
      </c>
      <c r="G663" s="34">
        <f t="shared" si="417"/>
        <v>334.64</v>
      </c>
      <c r="H663" s="34"/>
      <c r="I663" s="34"/>
      <c r="J663" s="34">
        <f t="shared" si="413"/>
        <v>0</v>
      </c>
      <c r="K663" s="34"/>
      <c r="L663" s="34"/>
      <c r="M663" s="34">
        <f t="shared" si="414"/>
        <v>0</v>
      </c>
      <c r="N663" s="34">
        <f t="shared" si="418"/>
        <v>334.64</v>
      </c>
      <c r="O663" s="34">
        <f t="shared" si="419"/>
        <v>0</v>
      </c>
      <c r="P663" s="34">
        <f t="shared" si="421"/>
        <v>334.64</v>
      </c>
      <c r="R663" s="86" t="s">
        <v>2152</v>
      </c>
      <c r="S663" s="86"/>
    </row>
    <row r="664" spans="1:19" x14ac:dyDescent="0.25">
      <c r="A664" s="8" t="s">
        <v>5</v>
      </c>
      <c r="C664" s="103">
        <f t="shared" ref="C664:D664" si="471">SUM(C661:C663)</f>
        <v>2000</v>
      </c>
      <c r="D664" s="99">
        <f t="shared" si="471"/>
        <v>-8000</v>
      </c>
      <c r="E664" s="35">
        <f>SUM(E661:E663)</f>
        <v>10571.3</v>
      </c>
      <c r="F664" s="35">
        <f t="shared" ref="F664:P664" si="472">SUM(F661:F663)</f>
        <v>0</v>
      </c>
      <c r="G664" s="35">
        <f t="shared" si="472"/>
        <v>10571.3</v>
      </c>
      <c r="H664" s="35">
        <f t="shared" si="472"/>
        <v>0</v>
      </c>
      <c r="I664" s="35">
        <f t="shared" si="472"/>
        <v>0</v>
      </c>
      <c r="J664" s="35">
        <f t="shared" si="472"/>
        <v>0</v>
      </c>
      <c r="K664" s="35">
        <f t="shared" si="472"/>
        <v>0</v>
      </c>
      <c r="L664" s="35">
        <f t="shared" si="472"/>
        <v>0</v>
      </c>
      <c r="M664" s="35">
        <f t="shared" si="472"/>
        <v>0</v>
      </c>
      <c r="N664" s="35">
        <f t="shared" si="472"/>
        <v>10571.3</v>
      </c>
      <c r="O664" s="35">
        <f t="shared" si="472"/>
        <v>0</v>
      </c>
      <c r="P664" s="35">
        <f t="shared" si="472"/>
        <v>10571.3</v>
      </c>
    </row>
    <row r="665" spans="1:19" x14ac:dyDescent="0.25">
      <c r="C665" s="104"/>
      <c r="D665" s="100"/>
      <c r="E665" s="34"/>
      <c r="F665" s="34"/>
      <c r="G665" s="34">
        <f t="shared" si="417"/>
        <v>0</v>
      </c>
      <c r="H665" s="34"/>
      <c r="I665" s="34"/>
      <c r="J665" s="34">
        <f t="shared" si="413"/>
        <v>0</v>
      </c>
      <c r="K665" s="34"/>
      <c r="L665" s="34"/>
      <c r="M665" s="34">
        <f t="shared" si="414"/>
        <v>0</v>
      </c>
      <c r="N665" s="34">
        <f t="shared" si="418"/>
        <v>0</v>
      </c>
      <c r="O665" s="34">
        <f t="shared" si="419"/>
        <v>0</v>
      </c>
      <c r="P665" s="34"/>
    </row>
    <row r="666" spans="1:19" x14ac:dyDescent="0.25">
      <c r="A666" s="9" t="s">
        <v>2151</v>
      </c>
      <c r="B666" s="12" t="str">
        <f>LEFT(A666,5)</f>
        <v>45.18</v>
      </c>
      <c r="C666" s="103">
        <f t="shared" ref="C666:D666" si="473">C664</f>
        <v>2000</v>
      </c>
      <c r="D666" s="99">
        <f t="shared" si="473"/>
        <v>-8000</v>
      </c>
      <c r="E666" s="35">
        <f>E664</f>
        <v>10571.3</v>
      </c>
      <c r="F666" s="35">
        <f t="shared" ref="F666:P666" si="474">F664</f>
        <v>0</v>
      </c>
      <c r="G666" s="35">
        <f t="shared" si="474"/>
        <v>10571.3</v>
      </c>
      <c r="H666" s="35">
        <f t="shared" si="474"/>
        <v>0</v>
      </c>
      <c r="I666" s="35">
        <f t="shared" si="474"/>
        <v>0</v>
      </c>
      <c r="J666" s="35">
        <f t="shared" si="474"/>
        <v>0</v>
      </c>
      <c r="K666" s="35">
        <f t="shared" si="474"/>
        <v>0</v>
      </c>
      <c r="L666" s="35">
        <f t="shared" si="474"/>
        <v>0</v>
      </c>
      <c r="M666" s="35">
        <f t="shared" si="474"/>
        <v>0</v>
      </c>
      <c r="N666" s="35">
        <f t="shared" si="474"/>
        <v>10571.3</v>
      </c>
      <c r="O666" s="35">
        <f t="shared" si="474"/>
        <v>0</v>
      </c>
      <c r="P666" s="35">
        <f t="shared" si="474"/>
        <v>10571.3</v>
      </c>
    </row>
    <row r="667" spans="1:19" x14ac:dyDescent="0.25">
      <c r="E667" s="34"/>
      <c r="F667" s="34"/>
      <c r="G667" s="34">
        <f t="shared" ref="G667:G729" si="475">IF(E667&gt;0,E667,-F667)</f>
        <v>0</v>
      </c>
      <c r="H667" s="34"/>
      <c r="I667" s="34"/>
      <c r="J667" s="34">
        <f t="shared" ref="J667:J729" si="476">IF(H667&gt;0,H667,-I667)</f>
        <v>0</v>
      </c>
      <c r="K667" s="34"/>
      <c r="L667" s="34"/>
      <c r="M667" s="34">
        <f t="shared" ref="M667:M729" si="477">IF(K667&gt;0,K667,-L667)</f>
        <v>0</v>
      </c>
      <c r="N667" s="34">
        <f t="shared" ref="N667:N729" si="478">E667+H667+K667</f>
        <v>0</v>
      </c>
      <c r="O667" s="34">
        <f t="shared" ref="O667:O729" si="479">F667+I667+L667</f>
        <v>0</v>
      </c>
      <c r="P667" s="34"/>
    </row>
    <row r="668" spans="1:19" x14ac:dyDescent="0.25">
      <c r="A668" s="8" t="s">
        <v>365</v>
      </c>
      <c r="B668" s="4" t="str">
        <f>LEFT(A668,4)</f>
        <v>5895</v>
      </c>
      <c r="C668" s="102">
        <v>30000</v>
      </c>
      <c r="D668" s="98">
        <v>7000</v>
      </c>
      <c r="E668" s="34">
        <f>VLOOKUP($B668,Town_Sage!$A$5:$D$399,3,0)</f>
        <v>21131.46</v>
      </c>
      <c r="F668" s="34">
        <f>VLOOKUP($B668,Town_Sage!$A$5:$D$399,4,0)</f>
        <v>0</v>
      </c>
      <c r="G668" s="34">
        <f t="shared" si="475"/>
        <v>21131.46</v>
      </c>
      <c r="H668" s="34"/>
      <c r="I668" s="34"/>
      <c r="J668" s="34">
        <f t="shared" si="476"/>
        <v>0</v>
      </c>
      <c r="K668" s="34"/>
      <c r="L668" s="34"/>
      <c r="M668" s="34">
        <f t="shared" si="477"/>
        <v>0</v>
      </c>
      <c r="N668" s="34">
        <f t="shared" si="478"/>
        <v>21131.46</v>
      </c>
      <c r="O668" s="34">
        <f t="shared" si="479"/>
        <v>0</v>
      </c>
      <c r="P668" s="34">
        <f t="shared" ref="P668:P729" si="480">IF(N668&gt;0,N668,-O668)</f>
        <v>21131.46</v>
      </c>
    </row>
    <row r="669" spans="1:19" x14ac:dyDescent="0.25">
      <c r="A669" s="8" t="s">
        <v>5</v>
      </c>
      <c r="C669" s="103">
        <f t="shared" ref="C669:D669" si="481">C668</f>
        <v>30000</v>
      </c>
      <c r="D669" s="99">
        <f t="shared" si="481"/>
        <v>7000</v>
      </c>
      <c r="E669" s="35">
        <f>E668</f>
        <v>21131.46</v>
      </c>
      <c r="F669" s="35">
        <f t="shared" ref="F669:P669" si="482">F668</f>
        <v>0</v>
      </c>
      <c r="G669" s="35">
        <f t="shared" si="482"/>
        <v>21131.46</v>
      </c>
      <c r="H669" s="35">
        <f t="shared" si="482"/>
        <v>0</v>
      </c>
      <c r="I669" s="35">
        <f t="shared" si="482"/>
        <v>0</v>
      </c>
      <c r="J669" s="35">
        <f t="shared" si="482"/>
        <v>0</v>
      </c>
      <c r="K669" s="35">
        <f t="shared" si="482"/>
        <v>0</v>
      </c>
      <c r="L669" s="35">
        <f t="shared" si="482"/>
        <v>0</v>
      </c>
      <c r="M669" s="35">
        <f t="shared" si="482"/>
        <v>0</v>
      </c>
      <c r="N669" s="35">
        <f t="shared" si="482"/>
        <v>21131.46</v>
      </c>
      <c r="O669" s="35">
        <f t="shared" si="482"/>
        <v>0</v>
      </c>
      <c r="P669" s="35">
        <f t="shared" si="482"/>
        <v>21131.46</v>
      </c>
    </row>
    <row r="670" spans="1:19" x14ac:dyDescent="0.25">
      <c r="C670" s="104"/>
      <c r="D670" s="100"/>
      <c r="E670" s="34"/>
      <c r="F670" s="34"/>
      <c r="G670" s="34">
        <f t="shared" si="475"/>
        <v>0</v>
      </c>
      <c r="H670" s="34"/>
      <c r="I670" s="34"/>
      <c r="J670" s="34">
        <f t="shared" si="476"/>
        <v>0</v>
      </c>
      <c r="K670" s="34"/>
      <c r="L670" s="34"/>
      <c r="M670" s="34">
        <f t="shared" si="477"/>
        <v>0</v>
      </c>
      <c r="N670" s="34">
        <f t="shared" si="478"/>
        <v>0</v>
      </c>
      <c r="O670" s="34">
        <f t="shared" si="479"/>
        <v>0</v>
      </c>
      <c r="P670" s="34"/>
    </row>
    <row r="671" spans="1:19" x14ac:dyDescent="0.25">
      <c r="A671" s="9" t="s">
        <v>366</v>
      </c>
      <c r="B671" s="12" t="str">
        <f>LEFT(A671,5)</f>
        <v>45.30</v>
      </c>
      <c r="C671" s="103">
        <f t="shared" ref="C671:D671" si="483">C669</f>
        <v>30000</v>
      </c>
      <c r="D671" s="99">
        <f t="shared" si="483"/>
        <v>7000</v>
      </c>
      <c r="E671" s="35">
        <f>E669</f>
        <v>21131.46</v>
      </c>
      <c r="F671" s="35">
        <f t="shared" ref="F671:P671" si="484">F669</f>
        <v>0</v>
      </c>
      <c r="G671" s="35">
        <f t="shared" si="484"/>
        <v>21131.46</v>
      </c>
      <c r="H671" s="35">
        <f t="shared" si="484"/>
        <v>0</v>
      </c>
      <c r="I671" s="35">
        <f t="shared" si="484"/>
        <v>0</v>
      </c>
      <c r="J671" s="35">
        <f t="shared" si="484"/>
        <v>0</v>
      </c>
      <c r="K671" s="35">
        <f t="shared" si="484"/>
        <v>0</v>
      </c>
      <c r="L671" s="35">
        <f t="shared" si="484"/>
        <v>0</v>
      </c>
      <c r="M671" s="35">
        <f t="shared" si="484"/>
        <v>0</v>
      </c>
      <c r="N671" s="35">
        <f t="shared" si="484"/>
        <v>21131.46</v>
      </c>
      <c r="O671" s="35">
        <f t="shared" si="484"/>
        <v>0</v>
      </c>
      <c r="P671" s="35">
        <f t="shared" si="484"/>
        <v>21131.46</v>
      </c>
    </row>
    <row r="672" spans="1:19" x14ac:dyDescent="0.25">
      <c r="E672" s="34"/>
      <c r="F672" s="34"/>
      <c r="G672" s="34">
        <f t="shared" si="475"/>
        <v>0</v>
      </c>
      <c r="H672" s="34"/>
      <c r="I672" s="34"/>
      <c r="J672" s="34">
        <f t="shared" si="476"/>
        <v>0</v>
      </c>
      <c r="K672" s="34"/>
      <c r="L672" s="34"/>
      <c r="M672" s="34">
        <f t="shared" si="477"/>
        <v>0</v>
      </c>
      <c r="N672" s="34">
        <f t="shared" si="478"/>
        <v>0</v>
      </c>
      <c r="O672" s="34">
        <f t="shared" si="479"/>
        <v>0</v>
      </c>
      <c r="P672" s="34"/>
    </row>
    <row r="673" spans="1:20" x14ac:dyDescent="0.25">
      <c r="A673" s="8" t="s">
        <v>367</v>
      </c>
      <c r="B673" s="4" t="str">
        <f>LEFT(A673,4)</f>
        <v>5875</v>
      </c>
      <c r="C673" s="102">
        <v>500</v>
      </c>
      <c r="D673" s="98">
        <v>0</v>
      </c>
      <c r="E673" s="34">
        <f>VLOOKUP($B673,Town_Sage!$A$5:$D$399,3,0)</f>
        <v>174.55</v>
      </c>
      <c r="F673" s="34">
        <f>VLOOKUP($B673,Town_Sage!$A$5:$D$399,4,0)</f>
        <v>0</v>
      </c>
      <c r="G673" s="34">
        <f t="shared" si="475"/>
        <v>174.55</v>
      </c>
      <c r="H673" s="34"/>
      <c r="I673" s="34"/>
      <c r="J673" s="34">
        <f t="shared" si="476"/>
        <v>0</v>
      </c>
      <c r="K673" s="34"/>
      <c r="L673" s="34"/>
      <c r="M673" s="34">
        <f t="shared" si="477"/>
        <v>0</v>
      </c>
      <c r="N673" s="34">
        <f t="shared" si="478"/>
        <v>174.55</v>
      </c>
      <c r="O673" s="34">
        <f t="shared" si="479"/>
        <v>0</v>
      </c>
      <c r="P673" s="34">
        <f t="shared" si="480"/>
        <v>174.55</v>
      </c>
    </row>
    <row r="674" spans="1:20" x14ac:dyDescent="0.25">
      <c r="A674" s="8" t="s">
        <v>368</v>
      </c>
      <c r="B674" s="4" t="str">
        <f>LEFT(A674,4)</f>
        <v>5877</v>
      </c>
      <c r="C674" s="102">
        <v>500</v>
      </c>
      <c r="D674" s="98">
        <v>0</v>
      </c>
      <c r="E674" s="34">
        <f>VLOOKUP($B674,Town_Sage!$A$5:$D$399,3,0)</f>
        <v>100.25</v>
      </c>
      <c r="F674" s="34">
        <f>VLOOKUP($B674,Town_Sage!$A$5:$D$399,4,0)</f>
        <v>0</v>
      </c>
      <c r="G674" s="34">
        <f t="shared" si="475"/>
        <v>100.25</v>
      </c>
      <c r="H674" s="34"/>
      <c r="I674" s="34"/>
      <c r="J674" s="34">
        <f t="shared" si="476"/>
        <v>0</v>
      </c>
      <c r="K674" s="34"/>
      <c r="L674" s="34"/>
      <c r="M674" s="34">
        <f t="shared" si="477"/>
        <v>0</v>
      </c>
      <c r="N674" s="34">
        <f t="shared" si="478"/>
        <v>100.25</v>
      </c>
      <c r="O674" s="34">
        <f t="shared" si="479"/>
        <v>0</v>
      </c>
      <c r="P674" s="34">
        <f t="shared" si="480"/>
        <v>100.25</v>
      </c>
    </row>
    <row r="675" spans="1:20" x14ac:dyDescent="0.25">
      <c r="A675" s="8" t="s">
        <v>369</v>
      </c>
      <c r="B675" s="4" t="str">
        <f>LEFT(A675,4)</f>
        <v>5887</v>
      </c>
      <c r="C675" s="102">
        <v>150</v>
      </c>
      <c r="D675" s="98">
        <v>0</v>
      </c>
      <c r="E675" s="34">
        <f>VLOOKUP($B675,Town_Sage!$A$5:$D$399,3,0)</f>
        <v>121</v>
      </c>
      <c r="F675" s="34">
        <f>VLOOKUP($B675,Town_Sage!$A$5:$D$399,4,0)</f>
        <v>0</v>
      </c>
      <c r="G675" s="34">
        <f t="shared" si="475"/>
        <v>121</v>
      </c>
      <c r="H675" s="34"/>
      <c r="I675" s="34"/>
      <c r="J675" s="34">
        <f t="shared" si="476"/>
        <v>0</v>
      </c>
      <c r="K675" s="34"/>
      <c r="L675" s="34"/>
      <c r="M675" s="34">
        <f t="shared" si="477"/>
        <v>0</v>
      </c>
      <c r="N675" s="34">
        <f t="shared" si="478"/>
        <v>121</v>
      </c>
      <c r="O675" s="34">
        <f t="shared" si="479"/>
        <v>0</v>
      </c>
      <c r="P675" s="34">
        <f t="shared" si="480"/>
        <v>121</v>
      </c>
    </row>
    <row r="676" spans="1:20" x14ac:dyDescent="0.25">
      <c r="A676" s="8" t="s">
        <v>5</v>
      </c>
      <c r="C676" s="103">
        <f t="shared" ref="C676:D676" si="485">SUM(C673:C675)</f>
        <v>1150</v>
      </c>
      <c r="D676" s="99">
        <f t="shared" si="485"/>
        <v>0</v>
      </c>
      <c r="E676" s="35">
        <f>SUM(E673:E675)</f>
        <v>395.8</v>
      </c>
      <c r="F676" s="35">
        <f t="shared" ref="F676:P676" si="486">SUM(F673:F675)</f>
        <v>0</v>
      </c>
      <c r="G676" s="35">
        <f t="shared" si="486"/>
        <v>395.8</v>
      </c>
      <c r="H676" s="35">
        <f t="shared" si="486"/>
        <v>0</v>
      </c>
      <c r="I676" s="35">
        <f t="shared" si="486"/>
        <v>0</v>
      </c>
      <c r="J676" s="35">
        <f t="shared" si="486"/>
        <v>0</v>
      </c>
      <c r="K676" s="35">
        <f t="shared" si="486"/>
        <v>0</v>
      </c>
      <c r="L676" s="35">
        <f t="shared" si="486"/>
        <v>0</v>
      </c>
      <c r="M676" s="35">
        <f t="shared" si="486"/>
        <v>0</v>
      </c>
      <c r="N676" s="35">
        <f t="shared" si="486"/>
        <v>395.8</v>
      </c>
      <c r="O676" s="35">
        <f t="shared" si="486"/>
        <v>0</v>
      </c>
      <c r="P676" s="35">
        <f t="shared" si="486"/>
        <v>395.8</v>
      </c>
    </row>
    <row r="677" spans="1:20" x14ac:dyDescent="0.25">
      <c r="C677" s="104"/>
      <c r="D677" s="100"/>
      <c r="E677" s="34"/>
      <c r="F677" s="34"/>
      <c r="G677" s="34">
        <f t="shared" si="475"/>
        <v>0</v>
      </c>
      <c r="H677" s="34"/>
      <c r="I677" s="34"/>
      <c r="J677" s="34">
        <f t="shared" si="476"/>
        <v>0</v>
      </c>
      <c r="K677" s="34"/>
      <c r="L677" s="34"/>
      <c r="M677" s="34">
        <f t="shared" si="477"/>
        <v>0</v>
      </c>
      <c r="N677" s="34">
        <f t="shared" si="478"/>
        <v>0</v>
      </c>
      <c r="O677" s="34">
        <f t="shared" si="479"/>
        <v>0</v>
      </c>
      <c r="P677" s="34">
        <f t="shared" si="480"/>
        <v>0</v>
      </c>
    </row>
    <row r="678" spans="1:20" x14ac:dyDescent="0.25">
      <c r="A678" s="9" t="s">
        <v>370</v>
      </c>
      <c r="B678" s="12" t="str">
        <f>LEFT(A678,5)</f>
        <v>45.33</v>
      </c>
      <c r="C678" s="103">
        <f t="shared" ref="C678:D678" si="487">C676</f>
        <v>1150</v>
      </c>
      <c r="D678" s="99">
        <f t="shared" si="487"/>
        <v>0</v>
      </c>
      <c r="E678" s="35">
        <f>E676</f>
        <v>395.8</v>
      </c>
      <c r="F678" s="35">
        <f t="shared" ref="F678:P678" si="488">F676</f>
        <v>0</v>
      </c>
      <c r="G678" s="35">
        <f t="shared" si="488"/>
        <v>395.8</v>
      </c>
      <c r="H678" s="35">
        <f t="shared" si="488"/>
        <v>0</v>
      </c>
      <c r="I678" s="35">
        <f t="shared" si="488"/>
        <v>0</v>
      </c>
      <c r="J678" s="35">
        <f t="shared" si="488"/>
        <v>0</v>
      </c>
      <c r="K678" s="35">
        <f t="shared" si="488"/>
        <v>0</v>
      </c>
      <c r="L678" s="35">
        <f t="shared" si="488"/>
        <v>0</v>
      </c>
      <c r="M678" s="35">
        <f t="shared" si="488"/>
        <v>0</v>
      </c>
      <c r="N678" s="35">
        <f t="shared" si="488"/>
        <v>395.8</v>
      </c>
      <c r="O678" s="35">
        <f t="shared" si="488"/>
        <v>0</v>
      </c>
      <c r="P678" s="35">
        <f t="shared" si="488"/>
        <v>395.8</v>
      </c>
    </row>
    <row r="679" spans="1:20" x14ac:dyDescent="0.25">
      <c r="E679" s="34"/>
      <c r="F679" s="34"/>
      <c r="G679" s="34">
        <f t="shared" si="475"/>
        <v>0</v>
      </c>
      <c r="H679" s="34"/>
      <c r="I679" s="34"/>
      <c r="J679" s="34">
        <f t="shared" si="476"/>
        <v>0</v>
      </c>
      <c r="K679" s="34"/>
      <c r="L679" s="34"/>
      <c r="M679" s="34">
        <f t="shared" si="477"/>
        <v>0</v>
      </c>
      <c r="N679" s="34">
        <f t="shared" si="478"/>
        <v>0</v>
      </c>
      <c r="O679" s="34">
        <f t="shared" si="479"/>
        <v>0</v>
      </c>
      <c r="P679" s="34">
        <f t="shared" si="480"/>
        <v>0</v>
      </c>
    </row>
    <row r="680" spans="1:20" x14ac:dyDescent="0.25">
      <c r="A680" s="8" t="s">
        <v>371</v>
      </c>
      <c r="B680" s="4" t="str">
        <f>LEFT(A680,4)</f>
        <v>5869</v>
      </c>
      <c r="C680" s="102">
        <f>8000+2000</f>
        <v>10000</v>
      </c>
      <c r="D680" s="101">
        <v>8000</v>
      </c>
      <c r="E680" s="34">
        <f>VLOOKUP($B680,Town_Sage!$A$5:$D$399,3,0)</f>
        <v>1802.17</v>
      </c>
      <c r="F680" s="34">
        <f>VLOOKUP($B680,Town_Sage!$A$5:$D$399,4,0)</f>
        <v>0</v>
      </c>
      <c r="G680" s="34">
        <f t="shared" si="475"/>
        <v>1802.17</v>
      </c>
      <c r="H680" s="34"/>
      <c r="I680" s="34"/>
      <c r="J680" s="34">
        <f t="shared" si="476"/>
        <v>0</v>
      </c>
      <c r="K680" s="34"/>
      <c r="L680" s="34"/>
      <c r="M680" s="34">
        <f t="shared" si="477"/>
        <v>0</v>
      </c>
      <c r="N680" s="34">
        <f t="shared" si="478"/>
        <v>1802.17</v>
      </c>
      <c r="O680" s="34">
        <f t="shared" si="479"/>
        <v>0</v>
      </c>
      <c r="P680" s="34">
        <f t="shared" si="480"/>
        <v>1802.17</v>
      </c>
      <c r="R680" s="86" t="s">
        <v>2153</v>
      </c>
      <c r="S680" s="86"/>
      <c r="T680" s="4" t="s">
        <v>2252</v>
      </c>
    </row>
    <row r="681" spans="1:20" x14ac:dyDescent="0.25">
      <c r="A681" s="8" t="s">
        <v>372</v>
      </c>
      <c r="B681" s="4" t="str">
        <f>LEFT(A681,4)</f>
        <v>5896</v>
      </c>
      <c r="C681" s="102">
        <v>22000</v>
      </c>
      <c r="E681" s="34">
        <f>VLOOKUP($B681,Town_Sage!$A$5:$D$399,3,0)</f>
        <v>22217.69</v>
      </c>
      <c r="F681" s="34">
        <f>VLOOKUP($B681,Town_Sage!$A$5:$D$399,4,0)</f>
        <v>0</v>
      </c>
      <c r="G681" s="34">
        <f t="shared" si="475"/>
        <v>22217.69</v>
      </c>
      <c r="H681" s="34"/>
      <c r="I681" s="34"/>
      <c r="J681" s="34">
        <f t="shared" si="476"/>
        <v>0</v>
      </c>
      <c r="K681" s="34"/>
      <c r="L681" s="34"/>
      <c r="M681" s="34">
        <f t="shared" si="477"/>
        <v>0</v>
      </c>
      <c r="N681" s="34">
        <f t="shared" si="478"/>
        <v>22217.69</v>
      </c>
      <c r="O681" s="34">
        <f t="shared" si="479"/>
        <v>0</v>
      </c>
      <c r="P681" s="34">
        <f t="shared" si="480"/>
        <v>22217.69</v>
      </c>
    </row>
    <row r="682" spans="1:20" x14ac:dyDescent="0.25">
      <c r="A682" s="8" t="s">
        <v>5</v>
      </c>
      <c r="C682" s="103">
        <f t="shared" ref="C682:D682" si="489">SUM(C680:C681)</f>
        <v>32000</v>
      </c>
      <c r="D682" s="99">
        <f t="shared" si="489"/>
        <v>8000</v>
      </c>
      <c r="E682" s="35">
        <f>SUM(E680:E681)</f>
        <v>24019.86</v>
      </c>
      <c r="F682" s="35">
        <f t="shared" ref="F682:P682" si="490">SUM(F680:F681)</f>
        <v>0</v>
      </c>
      <c r="G682" s="35">
        <f t="shared" si="490"/>
        <v>24019.86</v>
      </c>
      <c r="H682" s="35">
        <f t="shared" si="490"/>
        <v>0</v>
      </c>
      <c r="I682" s="35">
        <f t="shared" si="490"/>
        <v>0</v>
      </c>
      <c r="J682" s="35">
        <f t="shared" si="490"/>
        <v>0</v>
      </c>
      <c r="K682" s="35">
        <f t="shared" si="490"/>
        <v>0</v>
      </c>
      <c r="L682" s="35">
        <f t="shared" si="490"/>
        <v>0</v>
      </c>
      <c r="M682" s="35">
        <f t="shared" si="490"/>
        <v>0</v>
      </c>
      <c r="N682" s="35">
        <f t="shared" si="490"/>
        <v>24019.86</v>
      </c>
      <c r="O682" s="35">
        <f t="shared" si="490"/>
        <v>0</v>
      </c>
      <c r="P682" s="35">
        <f t="shared" si="490"/>
        <v>24019.86</v>
      </c>
    </row>
    <row r="683" spans="1:20" x14ac:dyDescent="0.25">
      <c r="C683" s="104"/>
      <c r="D683" s="100"/>
      <c r="E683" s="34"/>
      <c r="F683" s="34"/>
      <c r="G683" s="34">
        <f t="shared" si="475"/>
        <v>0</v>
      </c>
      <c r="H683" s="34"/>
      <c r="I683" s="34"/>
      <c r="J683" s="34">
        <f t="shared" si="476"/>
        <v>0</v>
      </c>
      <c r="K683" s="34"/>
      <c r="L683" s="34"/>
      <c r="M683" s="34">
        <f t="shared" si="477"/>
        <v>0</v>
      </c>
      <c r="N683" s="34">
        <f t="shared" si="478"/>
        <v>0</v>
      </c>
      <c r="O683" s="34">
        <f t="shared" si="479"/>
        <v>0</v>
      </c>
      <c r="P683" s="34"/>
    </row>
    <row r="684" spans="1:20" x14ac:dyDescent="0.25">
      <c r="A684" s="9" t="s">
        <v>373</v>
      </c>
      <c r="B684" s="12" t="str">
        <f>LEFT(A684,5)</f>
        <v>45.35</v>
      </c>
      <c r="C684" s="103">
        <f t="shared" ref="C684:D684" si="491">C682</f>
        <v>32000</v>
      </c>
      <c r="D684" s="99">
        <f t="shared" si="491"/>
        <v>8000</v>
      </c>
      <c r="E684" s="35">
        <f>E682</f>
        <v>24019.86</v>
      </c>
      <c r="F684" s="35">
        <f t="shared" ref="F684:P684" si="492">F682</f>
        <v>0</v>
      </c>
      <c r="G684" s="35">
        <f t="shared" si="492"/>
        <v>24019.86</v>
      </c>
      <c r="H684" s="35">
        <f t="shared" si="492"/>
        <v>0</v>
      </c>
      <c r="I684" s="35">
        <f t="shared" si="492"/>
        <v>0</v>
      </c>
      <c r="J684" s="35">
        <f t="shared" si="492"/>
        <v>0</v>
      </c>
      <c r="K684" s="35">
        <f t="shared" si="492"/>
        <v>0</v>
      </c>
      <c r="L684" s="35">
        <f t="shared" si="492"/>
        <v>0</v>
      </c>
      <c r="M684" s="35">
        <f t="shared" si="492"/>
        <v>0</v>
      </c>
      <c r="N684" s="35">
        <f t="shared" si="492"/>
        <v>24019.86</v>
      </c>
      <c r="O684" s="35">
        <f t="shared" si="492"/>
        <v>0</v>
      </c>
      <c r="P684" s="35">
        <f t="shared" si="492"/>
        <v>24019.86</v>
      </c>
    </row>
    <row r="685" spans="1:20" x14ac:dyDescent="0.25">
      <c r="E685" s="34"/>
      <c r="F685" s="34"/>
      <c r="G685" s="34">
        <f t="shared" si="475"/>
        <v>0</v>
      </c>
      <c r="H685" s="34"/>
      <c r="I685" s="34"/>
      <c r="J685" s="34">
        <f t="shared" si="476"/>
        <v>0</v>
      </c>
      <c r="K685" s="34"/>
      <c r="L685" s="34"/>
      <c r="M685" s="34">
        <f t="shared" si="477"/>
        <v>0</v>
      </c>
      <c r="N685" s="34">
        <f t="shared" si="478"/>
        <v>0</v>
      </c>
      <c r="O685" s="34">
        <f t="shared" si="479"/>
        <v>0</v>
      </c>
      <c r="P685" s="34"/>
    </row>
    <row r="686" spans="1:20" x14ac:dyDescent="0.25">
      <c r="A686" s="8" t="s">
        <v>374</v>
      </c>
      <c r="B686" s="4" t="str">
        <f>LEFT(A686,4)</f>
        <v>5503</v>
      </c>
      <c r="C686" s="102">
        <v>27200</v>
      </c>
      <c r="D686" s="98">
        <v>0</v>
      </c>
      <c r="E686" s="34"/>
      <c r="F686" s="34"/>
      <c r="G686" s="34">
        <f t="shared" si="475"/>
        <v>0</v>
      </c>
      <c r="H686" s="34">
        <f>VLOOKUP($B686,Utility!$A$5:$D$248,3,0)</f>
        <v>26400</v>
      </c>
      <c r="I686" s="34">
        <f>VLOOKUP($B686,Utility!$A$5:$D$248,4,0)</f>
        <v>0</v>
      </c>
      <c r="J686" s="34">
        <f t="shared" si="476"/>
        <v>26400</v>
      </c>
      <c r="K686" s="34"/>
      <c r="L686" s="34"/>
      <c r="M686" s="34">
        <f t="shared" si="477"/>
        <v>0</v>
      </c>
      <c r="N686" s="34">
        <f t="shared" si="478"/>
        <v>26400</v>
      </c>
      <c r="O686" s="34">
        <f t="shared" si="479"/>
        <v>0</v>
      </c>
      <c r="P686" s="34">
        <f t="shared" si="480"/>
        <v>26400</v>
      </c>
      <c r="R686" s="4" t="s">
        <v>2154</v>
      </c>
    </row>
    <row r="687" spans="1:20" x14ac:dyDescent="0.25">
      <c r="A687" s="8" t="s">
        <v>8</v>
      </c>
      <c r="C687" s="103">
        <f t="shared" ref="C687:D687" si="493">C686</f>
        <v>27200</v>
      </c>
      <c r="D687" s="99">
        <f t="shared" si="493"/>
        <v>0</v>
      </c>
      <c r="E687" s="35">
        <f>E686</f>
        <v>0</v>
      </c>
      <c r="F687" s="35">
        <f t="shared" ref="F687:P687" si="494">F686</f>
        <v>0</v>
      </c>
      <c r="G687" s="35">
        <f t="shared" si="494"/>
        <v>0</v>
      </c>
      <c r="H687" s="35">
        <f t="shared" si="494"/>
        <v>26400</v>
      </c>
      <c r="I687" s="35">
        <f t="shared" si="494"/>
        <v>0</v>
      </c>
      <c r="J687" s="35">
        <f t="shared" si="494"/>
        <v>26400</v>
      </c>
      <c r="K687" s="35">
        <f t="shared" si="494"/>
        <v>0</v>
      </c>
      <c r="L687" s="35">
        <f t="shared" si="494"/>
        <v>0</v>
      </c>
      <c r="M687" s="35">
        <f t="shared" si="494"/>
        <v>0</v>
      </c>
      <c r="N687" s="35">
        <f t="shared" si="494"/>
        <v>26400</v>
      </c>
      <c r="O687" s="35">
        <f t="shared" si="494"/>
        <v>0</v>
      </c>
      <c r="P687" s="35">
        <f t="shared" si="494"/>
        <v>26400</v>
      </c>
    </row>
    <row r="688" spans="1:20" x14ac:dyDescent="0.25">
      <c r="C688" s="104"/>
      <c r="D688" s="100"/>
      <c r="E688" s="34"/>
      <c r="F688" s="34"/>
      <c r="G688" s="34">
        <f t="shared" si="475"/>
        <v>0</v>
      </c>
      <c r="H688" s="34"/>
      <c r="I688" s="34"/>
      <c r="J688" s="34">
        <f t="shared" si="476"/>
        <v>0</v>
      </c>
      <c r="K688" s="34"/>
      <c r="L688" s="34"/>
      <c r="M688" s="34">
        <f t="shared" si="477"/>
        <v>0</v>
      </c>
      <c r="N688" s="34">
        <f t="shared" si="478"/>
        <v>0</v>
      </c>
      <c r="O688" s="34">
        <f t="shared" si="479"/>
        <v>0</v>
      </c>
      <c r="P688" s="34"/>
    </row>
    <row r="689" spans="1:20" x14ac:dyDescent="0.25">
      <c r="A689" s="9" t="s">
        <v>375</v>
      </c>
      <c r="B689" s="12" t="str">
        <f>LEFT(A689,5)</f>
        <v>46. 1</v>
      </c>
      <c r="C689" s="103">
        <f t="shared" ref="C689:D689" si="495">C687</f>
        <v>27200</v>
      </c>
      <c r="D689" s="99">
        <f t="shared" si="495"/>
        <v>0</v>
      </c>
      <c r="E689" s="35">
        <f>E687</f>
        <v>0</v>
      </c>
      <c r="F689" s="35">
        <f t="shared" ref="F689:P689" si="496">F687</f>
        <v>0</v>
      </c>
      <c r="G689" s="35">
        <f t="shared" si="496"/>
        <v>0</v>
      </c>
      <c r="H689" s="35">
        <f t="shared" si="496"/>
        <v>26400</v>
      </c>
      <c r="I689" s="35">
        <f t="shared" si="496"/>
        <v>0</v>
      </c>
      <c r="J689" s="35">
        <f t="shared" si="496"/>
        <v>26400</v>
      </c>
      <c r="K689" s="35">
        <f t="shared" si="496"/>
        <v>0</v>
      </c>
      <c r="L689" s="35">
        <f t="shared" si="496"/>
        <v>0</v>
      </c>
      <c r="M689" s="35">
        <f t="shared" si="496"/>
        <v>0</v>
      </c>
      <c r="N689" s="35">
        <f t="shared" si="496"/>
        <v>26400</v>
      </c>
      <c r="O689" s="35">
        <f t="shared" si="496"/>
        <v>0</v>
      </c>
      <c r="P689" s="35">
        <f t="shared" si="496"/>
        <v>26400</v>
      </c>
    </row>
    <row r="690" spans="1:20" x14ac:dyDescent="0.25">
      <c r="C690" s="104"/>
      <c r="D690" s="100"/>
      <c r="E690" s="34"/>
      <c r="F690" s="34"/>
      <c r="G690" s="34">
        <f t="shared" si="475"/>
        <v>0</v>
      </c>
      <c r="H690" s="34"/>
      <c r="I690" s="34"/>
      <c r="J690" s="34">
        <f t="shared" si="476"/>
        <v>0</v>
      </c>
      <c r="K690" s="34"/>
      <c r="L690" s="34"/>
      <c r="M690" s="34">
        <f t="shared" si="477"/>
        <v>0</v>
      </c>
      <c r="N690" s="34">
        <f t="shared" si="478"/>
        <v>0</v>
      </c>
      <c r="O690" s="34">
        <f t="shared" si="479"/>
        <v>0</v>
      </c>
      <c r="P690" s="34"/>
    </row>
    <row r="691" spans="1:20" x14ac:dyDescent="0.25">
      <c r="A691" s="8" t="s">
        <v>376</v>
      </c>
      <c r="B691" s="4" t="str">
        <f>LEFT(A691,4)</f>
        <v>5343</v>
      </c>
      <c r="C691" s="104">
        <f>4000+2000</f>
        <v>6000</v>
      </c>
      <c r="D691" s="100">
        <v>2000</v>
      </c>
      <c r="E691" s="34"/>
      <c r="F691" s="34"/>
      <c r="G691" s="34">
        <f t="shared" si="475"/>
        <v>0</v>
      </c>
      <c r="H691" s="34">
        <f>VLOOKUP($B691,Utility!$A$5:$D$248,3,0)</f>
        <v>0</v>
      </c>
      <c r="I691" s="34">
        <f>VLOOKUP($B691,Utility!$A$5:$D$248,4,0)</f>
        <v>0</v>
      </c>
      <c r="J691" s="34">
        <f t="shared" si="476"/>
        <v>0</v>
      </c>
      <c r="K691" s="34"/>
      <c r="L691" s="34"/>
      <c r="M691" s="34">
        <f t="shared" si="477"/>
        <v>0</v>
      </c>
      <c r="N691" s="34">
        <f t="shared" si="478"/>
        <v>0</v>
      </c>
      <c r="O691" s="34">
        <f t="shared" si="479"/>
        <v>0</v>
      </c>
      <c r="P691" s="34">
        <f t="shared" si="480"/>
        <v>0</v>
      </c>
      <c r="R691" s="4" t="s">
        <v>2229</v>
      </c>
    </row>
    <row r="692" spans="1:20" x14ac:dyDescent="0.25">
      <c r="A692" s="8" t="s">
        <v>8</v>
      </c>
      <c r="C692" s="103">
        <f t="shared" ref="C692:D692" si="497">C691</f>
        <v>6000</v>
      </c>
      <c r="D692" s="99">
        <f t="shared" si="497"/>
        <v>2000</v>
      </c>
      <c r="E692" s="35">
        <f>E691</f>
        <v>0</v>
      </c>
      <c r="F692" s="35">
        <f t="shared" ref="F692:P692" si="498">F691</f>
        <v>0</v>
      </c>
      <c r="G692" s="35">
        <f t="shared" si="498"/>
        <v>0</v>
      </c>
      <c r="H692" s="35">
        <f t="shared" si="498"/>
        <v>0</v>
      </c>
      <c r="I692" s="35">
        <f t="shared" si="498"/>
        <v>0</v>
      </c>
      <c r="J692" s="35">
        <f t="shared" si="498"/>
        <v>0</v>
      </c>
      <c r="K692" s="35">
        <f t="shared" si="498"/>
        <v>0</v>
      </c>
      <c r="L692" s="35">
        <f t="shared" si="498"/>
        <v>0</v>
      </c>
      <c r="M692" s="35">
        <f t="shared" si="498"/>
        <v>0</v>
      </c>
      <c r="N692" s="35">
        <f t="shared" si="498"/>
        <v>0</v>
      </c>
      <c r="O692" s="35">
        <f t="shared" si="498"/>
        <v>0</v>
      </c>
      <c r="P692" s="35">
        <f t="shared" si="498"/>
        <v>0</v>
      </c>
    </row>
    <row r="693" spans="1:20" x14ac:dyDescent="0.25">
      <c r="C693" s="104"/>
      <c r="D693" s="100"/>
      <c r="E693" s="34"/>
      <c r="F693" s="34"/>
      <c r="G693" s="34">
        <f t="shared" si="475"/>
        <v>0</v>
      </c>
      <c r="H693" s="34"/>
      <c r="I693" s="34"/>
      <c r="J693" s="34">
        <f t="shared" si="476"/>
        <v>0</v>
      </c>
      <c r="K693" s="34"/>
      <c r="L693" s="34"/>
      <c r="M693" s="34">
        <f t="shared" si="477"/>
        <v>0</v>
      </c>
      <c r="N693" s="34">
        <f t="shared" si="478"/>
        <v>0</v>
      </c>
      <c r="O693" s="34">
        <f t="shared" si="479"/>
        <v>0</v>
      </c>
      <c r="P693" s="34"/>
    </row>
    <row r="694" spans="1:20" x14ac:dyDescent="0.25">
      <c r="A694" s="9" t="s">
        <v>377</v>
      </c>
      <c r="B694" s="12" t="str">
        <f>LEFT(A694,5)</f>
        <v>46. 5</v>
      </c>
      <c r="C694" s="103">
        <f t="shared" ref="C694:D694" si="499">C692</f>
        <v>6000</v>
      </c>
      <c r="D694" s="99">
        <f t="shared" si="499"/>
        <v>2000</v>
      </c>
      <c r="E694" s="35">
        <f>E692</f>
        <v>0</v>
      </c>
      <c r="F694" s="35">
        <f t="shared" ref="F694:P694" si="500">F692</f>
        <v>0</v>
      </c>
      <c r="G694" s="35">
        <f t="shared" si="500"/>
        <v>0</v>
      </c>
      <c r="H694" s="35">
        <f t="shared" si="500"/>
        <v>0</v>
      </c>
      <c r="I694" s="35">
        <f t="shared" si="500"/>
        <v>0</v>
      </c>
      <c r="J694" s="35">
        <f t="shared" si="500"/>
        <v>0</v>
      </c>
      <c r="K694" s="35">
        <f t="shared" si="500"/>
        <v>0</v>
      </c>
      <c r="L694" s="35">
        <f t="shared" si="500"/>
        <v>0</v>
      </c>
      <c r="M694" s="35">
        <f t="shared" si="500"/>
        <v>0</v>
      </c>
      <c r="N694" s="35">
        <f t="shared" si="500"/>
        <v>0</v>
      </c>
      <c r="O694" s="35">
        <f t="shared" si="500"/>
        <v>0</v>
      </c>
      <c r="P694" s="35">
        <f t="shared" si="500"/>
        <v>0</v>
      </c>
    </row>
    <row r="695" spans="1:20" x14ac:dyDescent="0.25">
      <c r="C695" s="104"/>
      <c r="D695" s="100"/>
      <c r="E695" s="34"/>
      <c r="F695" s="34"/>
      <c r="G695" s="34">
        <f t="shared" si="475"/>
        <v>0</v>
      </c>
      <c r="H695" s="34"/>
      <c r="I695" s="34"/>
      <c r="J695" s="34">
        <f t="shared" si="476"/>
        <v>0</v>
      </c>
      <c r="K695" s="34"/>
      <c r="L695" s="34"/>
      <c r="M695" s="34">
        <f t="shared" si="477"/>
        <v>0</v>
      </c>
      <c r="N695" s="34">
        <f t="shared" si="478"/>
        <v>0</v>
      </c>
      <c r="O695" s="34">
        <f t="shared" si="479"/>
        <v>0</v>
      </c>
      <c r="P695" s="34"/>
    </row>
    <row r="696" spans="1:20" x14ac:dyDescent="0.25">
      <c r="A696" s="8" t="s">
        <v>378</v>
      </c>
      <c r="B696" s="4" t="str">
        <f>LEFT(A696,4)</f>
        <v>5051</v>
      </c>
      <c r="C696" s="104">
        <v>700</v>
      </c>
      <c r="D696" s="100">
        <v>0</v>
      </c>
      <c r="E696" s="34"/>
      <c r="F696" s="34"/>
      <c r="G696" s="34">
        <f t="shared" si="475"/>
        <v>0</v>
      </c>
      <c r="H696" s="34">
        <f>VLOOKUP($B696,Utility!$A$5:$D$248,3,0)</f>
        <v>672</v>
      </c>
      <c r="I696" s="34">
        <f>VLOOKUP($B696,Utility!$A$5:$D$248,4,0)</f>
        <v>0</v>
      </c>
      <c r="J696" s="34">
        <f t="shared" si="476"/>
        <v>672</v>
      </c>
      <c r="K696" s="34"/>
      <c r="L696" s="34"/>
      <c r="M696" s="34">
        <f t="shared" si="477"/>
        <v>0</v>
      </c>
      <c r="N696" s="34">
        <f t="shared" si="478"/>
        <v>672</v>
      </c>
      <c r="O696" s="34">
        <f t="shared" si="479"/>
        <v>0</v>
      </c>
      <c r="P696" s="34">
        <f t="shared" si="480"/>
        <v>672</v>
      </c>
    </row>
    <row r="697" spans="1:20" x14ac:dyDescent="0.25">
      <c r="A697" s="8" t="s">
        <v>8</v>
      </c>
      <c r="C697" s="103">
        <f t="shared" ref="C697:D697" si="501">C696</f>
        <v>700</v>
      </c>
      <c r="D697" s="99">
        <f t="shared" si="501"/>
        <v>0</v>
      </c>
      <c r="E697" s="35">
        <f>E696</f>
        <v>0</v>
      </c>
      <c r="F697" s="35">
        <f t="shared" ref="F697:P697" si="502">F696</f>
        <v>0</v>
      </c>
      <c r="G697" s="35">
        <f t="shared" si="502"/>
        <v>0</v>
      </c>
      <c r="H697" s="35">
        <f t="shared" si="502"/>
        <v>672</v>
      </c>
      <c r="I697" s="35">
        <f t="shared" si="502"/>
        <v>0</v>
      </c>
      <c r="J697" s="35">
        <f t="shared" si="502"/>
        <v>672</v>
      </c>
      <c r="K697" s="35">
        <f t="shared" si="502"/>
        <v>0</v>
      </c>
      <c r="L697" s="35">
        <f t="shared" si="502"/>
        <v>0</v>
      </c>
      <c r="M697" s="35">
        <f t="shared" si="502"/>
        <v>0</v>
      </c>
      <c r="N697" s="35">
        <f t="shared" si="502"/>
        <v>672</v>
      </c>
      <c r="O697" s="35">
        <f t="shared" si="502"/>
        <v>0</v>
      </c>
      <c r="P697" s="35">
        <f t="shared" si="502"/>
        <v>672</v>
      </c>
    </row>
    <row r="698" spans="1:20" x14ac:dyDescent="0.25">
      <c r="C698" s="104"/>
      <c r="D698" s="100"/>
      <c r="E698" s="34"/>
      <c r="F698" s="34"/>
      <c r="G698" s="34">
        <f t="shared" si="475"/>
        <v>0</v>
      </c>
      <c r="H698" s="34"/>
      <c r="I698" s="34"/>
      <c r="J698" s="34">
        <f t="shared" si="476"/>
        <v>0</v>
      </c>
      <c r="K698" s="34"/>
      <c r="L698" s="34"/>
      <c r="M698" s="34">
        <f t="shared" si="477"/>
        <v>0</v>
      </c>
      <c r="N698" s="34">
        <f t="shared" si="478"/>
        <v>0</v>
      </c>
      <c r="O698" s="34">
        <f t="shared" si="479"/>
        <v>0</v>
      </c>
      <c r="P698" s="34"/>
    </row>
    <row r="699" spans="1:20" x14ac:dyDescent="0.25">
      <c r="A699" s="9" t="s">
        <v>379</v>
      </c>
      <c r="B699" s="12" t="str">
        <f>LEFT(A699,5)</f>
        <v>46.12</v>
      </c>
      <c r="C699" s="103">
        <f t="shared" ref="C699:D699" si="503">C697</f>
        <v>700</v>
      </c>
      <c r="D699" s="99">
        <f t="shared" si="503"/>
        <v>0</v>
      </c>
      <c r="E699" s="35">
        <f>E697</f>
        <v>0</v>
      </c>
      <c r="F699" s="35">
        <f t="shared" ref="F699:P699" si="504">F697</f>
        <v>0</v>
      </c>
      <c r="G699" s="35">
        <f t="shared" si="504"/>
        <v>0</v>
      </c>
      <c r="H699" s="35">
        <f t="shared" si="504"/>
        <v>672</v>
      </c>
      <c r="I699" s="35">
        <f t="shared" si="504"/>
        <v>0</v>
      </c>
      <c r="J699" s="35">
        <f t="shared" si="504"/>
        <v>672</v>
      </c>
      <c r="K699" s="35">
        <f t="shared" si="504"/>
        <v>0</v>
      </c>
      <c r="L699" s="35">
        <f t="shared" si="504"/>
        <v>0</v>
      </c>
      <c r="M699" s="35">
        <f t="shared" si="504"/>
        <v>0</v>
      </c>
      <c r="N699" s="35">
        <f t="shared" si="504"/>
        <v>672</v>
      </c>
      <c r="O699" s="35">
        <f t="shared" si="504"/>
        <v>0</v>
      </c>
      <c r="P699" s="35">
        <f t="shared" si="504"/>
        <v>672</v>
      </c>
    </row>
    <row r="700" spans="1:20" x14ac:dyDescent="0.25">
      <c r="C700" s="104"/>
      <c r="D700" s="100"/>
      <c r="E700" s="34"/>
      <c r="F700" s="34"/>
      <c r="G700" s="34">
        <f t="shared" si="475"/>
        <v>0</v>
      </c>
      <c r="H700" s="34"/>
      <c r="I700" s="34"/>
      <c r="J700" s="34">
        <f t="shared" si="476"/>
        <v>0</v>
      </c>
      <c r="K700" s="34"/>
      <c r="L700" s="34"/>
      <c r="M700" s="34">
        <f t="shared" si="477"/>
        <v>0</v>
      </c>
      <c r="N700" s="34">
        <f t="shared" si="478"/>
        <v>0</v>
      </c>
      <c r="O700" s="34">
        <f t="shared" si="479"/>
        <v>0</v>
      </c>
      <c r="P700" s="34"/>
    </row>
    <row r="701" spans="1:20" x14ac:dyDescent="0.25">
      <c r="A701" s="8" t="s">
        <v>380</v>
      </c>
      <c r="B701" s="4" t="str">
        <f>LEFT(A701,4)</f>
        <v>5012</v>
      </c>
      <c r="C701" s="104">
        <v>0</v>
      </c>
      <c r="D701" s="100">
        <v>0</v>
      </c>
      <c r="E701" s="34"/>
      <c r="F701" s="34"/>
      <c r="G701" s="34">
        <f t="shared" si="475"/>
        <v>0</v>
      </c>
      <c r="H701" s="34">
        <f>VLOOKUP($B701,Utility!$A$5:$D$248,3,0)</f>
        <v>0</v>
      </c>
      <c r="I701" s="34">
        <f>VLOOKUP($B701,Utility!$A$5:$D$248,4,0)</f>
        <v>0</v>
      </c>
      <c r="J701" s="34">
        <f t="shared" si="476"/>
        <v>0</v>
      </c>
      <c r="K701" s="34"/>
      <c r="L701" s="34"/>
      <c r="M701" s="34">
        <f t="shared" si="477"/>
        <v>0</v>
      </c>
      <c r="N701" s="34">
        <f t="shared" si="478"/>
        <v>0</v>
      </c>
      <c r="O701" s="34">
        <f t="shared" si="479"/>
        <v>0</v>
      </c>
      <c r="P701" s="34">
        <f t="shared" si="480"/>
        <v>0</v>
      </c>
    </row>
    <row r="702" spans="1:20" x14ac:dyDescent="0.25">
      <c r="A702" s="8" t="s">
        <v>381</v>
      </c>
      <c r="B702" s="4" t="str">
        <f>LEFT(A702,4)</f>
        <v>5041</v>
      </c>
      <c r="C702" s="108">
        <v>10000</v>
      </c>
      <c r="D702" s="109">
        <v>0</v>
      </c>
      <c r="E702" s="111"/>
      <c r="F702" s="111"/>
      <c r="G702" s="111">
        <f t="shared" si="475"/>
        <v>0</v>
      </c>
      <c r="H702" s="111">
        <f>VLOOKUP($B702,Utility!$A$5:$D$248,3,0)</f>
        <v>14478.85</v>
      </c>
      <c r="I702" s="111">
        <f>VLOOKUP($B702,Utility!$A$5:$D$248,4,0)</f>
        <v>0</v>
      </c>
      <c r="J702" s="111">
        <f t="shared" si="476"/>
        <v>14478.85</v>
      </c>
      <c r="K702" s="111"/>
      <c r="L702" s="111"/>
      <c r="M702" s="111">
        <f t="shared" si="477"/>
        <v>0</v>
      </c>
      <c r="N702" s="111">
        <f t="shared" si="478"/>
        <v>14478.85</v>
      </c>
      <c r="O702" s="111">
        <f t="shared" si="479"/>
        <v>0</v>
      </c>
      <c r="P702" s="111">
        <f t="shared" si="480"/>
        <v>14478.85</v>
      </c>
      <c r="R702" s="4" t="s">
        <v>2230</v>
      </c>
      <c r="T702" s="4" t="s">
        <v>2231</v>
      </c>
    </row>
    <row r="703" spans="1:20" x14ac:dyDescent="0.25">
      <c r="A703" s="8" t="s">
        <v>382</v>
      </c>
      <c r="B703" s="4" t="str">
        <f>LEFT(A703,4)</f>
        <v>5058</v>
      </c>
      <c r="C703" s="104">
        <v>3000</v>
      </c>
      <c r="D703" s="100">
        <v>0</v>
      </c>
      <c r="E703" s="34"/>
      <c r="F703" s="34"/>
      <c r="G703" s="34">
        <f t="shared" si="475"/>
        <v>0</v>
      </c>
      <c r="H703" s="34">
        <f>VLOOKUP($B703,Utility!$A$5:$D$248,3,0)</f>
        <v>2640.01</v>
      </c>
      <c r="I703" s="34">
        <f>VLOOKUP($B703,Utility!$A$5:$D$248,4,0)</f>
        <v>0</v>
      </c>
      <c r="J703" s="34">
        <f t="shared" si="476"/>
        <v>2640.01</v>
      </c>
      <c r="K703" s="34"/>
      <c r="L703" s="34"/>
      <c r="M703" s="34">
        <f t="shared" si="477"/>
        <v>0</v>
      </c>
      <c r="N703" s="34">
        <f t="shared" si="478"/>
        <v>2640.01</v>
      </c>
      <c r="O703" s="34">
        <f t="shared" si="479"/>
        <v>0</v>
      </c>
      <c r="P703" s="34">
        <f t="shared" si="480"/>
        <v>2640.01</v>
      </c>
    </row>
    <row r="704" spans="1:20" x14ac:dyDescent="0.25">
      <c r="A704" s="8" t="s">
        <v>383</v>
      </c>
      <c r="B704" s="4" t="str">
        <f>LEFT(A704,4)</f>
        <v>5071</v>
      </c>
      <c r="C704" s="104">
        <v>300</v>
      </c>
      <c r="D704" s="100"/>
      <c r="E704" s="34"/>
      <c r="F704" s="34"/>
      <c r="G704" s="34">
        <f t="shared" si="475"/>
        <v>0</v>
      </c>
      <c r="H704" s="34">
        <f>VLOOKUP($B704,Utility!$A$5:$D$248,3,0)</f>
        <v>292.35000000000002</v>
      </c>
      <c r="I704" s="34">
        <f>VLOOKUP($B704,Utility!$A$5:$D$248,4,0)</f>
        <v>0</v>
      </c>
      <c r="J704" s="34">
        <f t="shared" si="476"/>
        <v>292.35000000000002</v>
      </c>
      <c r="K704" s="34"/>
      <c r="L704" s="34"/>
      <c r="M704" s="34">
        <f t="shared" si="477"/>
        <v>0</v>
      </c>
      <c r="N704" s="34">
        <f t="shared" si="478"/>
        <v>292.35000000000002</v>
      </c>
      <c r="O704" s="34">
        <f t="shared" si="479"/>
        <v>0</v>
      </c>
      <c r="P704" s="34">
        <f t="shared" si="480"/>
        <v>292.35000000000002</v>
      </c>
    </row>
    <row r="705" spans="1:19" x14ac:dyDescent="0.25">
      <c r="A705" s="8" t="s">
        <v>8</v>
      </c>
      <c r="C705" s="103">
        <f t="shared" ref="C705:D705" si="505">SUM(C701:C704)</f>
        <v>13300</v>
      </c>
      <c r="D705" s="99">
        <f t="shared" si="505"/>
        <v>0</v>
      </c>
      <c r="E705" s="35">
        <f>SUM(E701:E704)</f>
        <v>0</v>
      </c>
      <c r="F705" s="35">
        <f t="shared" ref="F705:P705" si="506">SUM(F701:F704)</f>
        <v>0</v>
      </c>
      <c r="G705" s="35">
        <f t="shared" si="506"/>
        <v>0</v>
      </c>
      <c r="H705" s="35">
        <f t="shared" si="506"/>
        <v>17411.21</v>
      </c>
      <c r="I705" s="35">
        <f t="shared" si="506"/>
        <v>0</v>
      </c>
      <c r="J705" s="35">
        <f t="shared" si="506"/>
        <v>17411.21</v>
      </c>
      <c r="K705" s="35">
        <f t="shared" si="506"/>
        <v>0</v>
      </c>
      <c r="L705" s="35">
        <f t="shared" si="506"/>
        <v>0</v>
      </c>
      <c r="M705" s="35">
        <f t="shared" si="506"/>
        <v>0</v>
      </c>
      <c r="N705" s="35">
        <f t="shared" si="506"/>
        <v>17411.21</v>
      </c>
      <c r="O705" s="35">
        <f t="shared" si="506"/>
        <v>0</v>
      </c>
      <c r="P705" s="35">
        <f t="shared" si="506"/>
        <v>17411.21</v>
      </c>
    </row>
    <row r="706" spans="1:19" x14ac:dyDescent="0.25">
      <c r="C706" s="104"/>
      <c r="D706" s="100"/>
      <c r="E706" s="34"/>
      <c r="F706" s="34"/>
      <c r="G706" s="34">
        <f t="shared" si="475"/>
        <v>0</v>
      </c>
      <c r="H706" s="34"/>
      <c r="I706" s="34"/>
      <c r="J706" s="34">
        <f t="shared" si="476"/>
        <v>0</v>
      </c>
      <c r="K706" s="34"/>
      <c r="L706" s="34"/>
      <c r="M706" s="34">
        <f t="shared" si="477"/>
        <v>0</v>
      </c>
      <c r="N706" s="34">
        <f t="shared" si="478"/>
        <v>0</v>
      </c>
      <c r="O706" s="34">
        <f t="shared" si="479"/>
        <v>0</v>
      </c>
      <c r="P706" s="34"/>
    </row>
    <row r="707" spans="1:19" x14ac:dyDescent="0.25">
      <c r="A707" s="9" t="s">
        <v>384</v>
      </c>
      <c r="B707" s="12" t="str">
        <f>LEFT(A707,5)</f>
        <v>46.13</v>
      </c>
      <c r="C707" s="103">
        <f t="shared" ref="C707:D707" si="507">C705</f>
        <v>13300</v>
      </c>
      <c r="D707" s="99">
        <f t="shared" si="507"/>
        <v>0</v>
      </c>
      <c r="E707" s="35">
        <f>E705</f>
        <v>0</v>
      </c>
      <c r="F707" s="35">
        <f t="shared" ref="F707:P707" si="508">F705</f>
        <v>0</v>
      </c>
      <c r="G707" s="35">
        <f t="shared" si="508"/>
        <v>0</v>
      </c>
      <c r="H707" s="35">
        <f t="shared" si="508"/>
        <v>17411.21</v>
      </c>
      <c r="I707" s="35">
        <f t="shared" si="508"/>
        <v>0</v>
      </c>
      <c r="J707" s="35">
        <f t="shared" si="508"/>
        <v>17411.21</v>
      </c>
      <c r="K707" s="35">
        <f t="shared" si="508"/>
        <v>0</v>
      </c>
      <c r="L707" s="35">
        <f t="shared" si="508"/>
        <v>0</v>
      </c>
      <c r="M707" s="35">
        <f t="shared" si="508"/>
        <v>0</v>
      </c>
      <c r="N707" s="35">
        <f t="shared" si="508"/>
        <v>17411.21</v>
      </c>
      <c r="O707" s="35">
        <f t="shared" si="508"/>
        <v>0</v>
      </c>
      <c r="P707" s="35">
        <f t="shared" si="508"/>
        <v>17411.21</v>
      </c>
    </row>
    <row r="708" spans="1:19" x14ac:dyDescent="0.25">
      <c r="C708" s="104"/>
      <c r="D708" s="100"/>
      <c r="E708" s="34"/>
      <c r="F708" s="34"/>
      <c r="G708" s="34">
        <f t="shared" si="475"/>
        <v>0</v>
      </c>
      <c r="H708" s="34"/>
      <c r="I708" s="34"/>
      <c r="J708" s="34">
        <f t="shared" si="476"/>
        <v>0</v>
      </c>
      <c r="K708" s="34"/>
      <c r="L708" s="34"/>
      <c r="M708" s="34">
        <f t="shared" si="477"/>
        <v>0</v>
      </c>
      <c r="N708" s="34">
        <f t="shared" si="478"/>
        <v>0</v>
      </c>
      <c r="O708" s="34">
        <f t="shared" si="479"/>
        <v>0</v>
      </c>
      <c r="P708" s="34"/>
    </row>
    <row r="709" spans="1:19" x14ac:dyDescent="0.25">
      <c r="A709" s="8" t="s">
        <v>385</v>
      </c>
      <c r="B709" s="4" t="str">
        <f>LEFT(A709,4)</f>
        <v>5021</v>
      </c>
      <c r="C709" s="104">
        <f>28086+4388+(18970/2)</f>
        <v>41959</v>
      </c>
      <c r="D709" s="100">
        <v>3400</v>
      </c>
      <c r="E709" s="34"/>
      <c r="F709" s="34"/>
      <c r="G709" s="34">
        <f t="shared" si="475"/>
        <v>0</v>
      </c>
      <c r="H709" s="34">
        <f>VLOOKUP($B709,Utility!$A$5:$D$248,3,0)</f>
        <v>42135.24</v>
      </c>
      <c r="I709" s="34">
        <f>VLOOKUP($B709,Utility!$A$5:$D$248,4,0)</f>
        <v>0</v>
      </c>
      <c r="J709" s="34">
        <f t="shared" si="476"/>
        <v>42135.24</v>
      </c>
      <c r="K709" s="34"/>
      <c r="L709" s="34"/>
      <c r="M709" s="34">
        <f t="shared" si="477"/>
        <v>0</v>
      </c>
      <c r="N709" s="34">
        <f t="shared" si="478"/>
        <v>42135.24</v>
      </c>
      <c r="O709" s="34">
        <f t="shared" si="479"/>
        <v>0</v>
      </c>
      <c r="P709" s="34">
        <f t="shared" si="480"/>
        <v>42135.24</v>
      </c>
      <c r="R709" s="4" t="s">
        <v>2156</v>
      </c>
    </row>
    <row r="710" spans="1:19" x14ac:dyDescent="0.25">
      <c r="A710" s="8" t="s">
        <v>8</v>
      </c>
      <c r="C710" s="103">
        <f t="shared" ref="C710:D710" si="509">C709</f>
        <v>41959</v>
      </c>
      <c r="D710" s="99">
        <f t="shared" si="509"/>
        <v>3400</v>
      </c>
      <c r="E710" s="35">
        <f>E709</f>
        <v>0</v>
      </c>
      <c r="F710" s="35">
        <f t="shared" ref="F710:P710" si="510">F709</f>
        <v>0</v>
      </c>
      <c r="G710" s="35">
        <f t="shared" si="510"/>
        <v>0</v>
      </c>
      <c r="H710" s="35">
        <f t="shared" si="510"/>
        <v>42135.24</v>
      </c>
      <c r="I710" s="35">
        <f t="shared" si="510"/>
        <v>0</v>
      </c>
      <c r="J710" s="35">
        <f t="shared" si="510"/>
        <v>42135.24</v>
      </c>
      <c r="K710" s="35">
        <f t="shared" si="510"/>
        <v>0</v>
      </c>
      <c r="L710" s="35">
        <f t="shared" si="510"/>
        <v>0</v>
      </c>
      <c r="M710" s="35">
        <f t="shared" si="510"/>
        <v>0</v>
      </c>
      <c r="N710" s="35">
        <f t="shared" si="510"/>
        <v>42135.24</v>
      </c>
      <c r="O710" s="35">
        <f t="shared" si="510"/>
        <v>0</v>
      </c>
      <c r="P710" s="35">
        <f t="shared" si="510"/>
        <v>42135.24</v>
      </c>
    </row>
    <row r="711" spans="1:19" x14ac:dyDescent="0.25">
      <c r="C711" s="104"/>
      <c r="D711" s="100"/>
      <c r="E711" s="34"/>
      <c r="F711" s="34"/>
      <c r="G711" s="34">
        <f t="shared" si="475"/>
        <v>0</v>
      </c>
      <c r="H711" s="34"/>
      <c r="I711" s="34"/>
      <c r="J711" s="34">
        <f t="shared" si="476"/>
        <v>0</v>
      </c>
      <c r="K711" s="34"/>
      <c r="L711" s="34"/>
      <c r="M711" s="34">
        <f t="shared" si="477"/>
        <v>0</v>
      </c>
      <c r="N711" s="34">
        <f t="shared" si="478"/>
        <v>0</v>
      </c>
      <c r="O711" s="34">
        <f t="shared" si="479"/>
        <v>0</v>
      </c>
      <c r="P711" s="34"/>
    </row>
    <row r="712" spans="1:19" x14ac:dyDescent="0.25">
      <c r="A712" s="9" t="s">
        <v>386</v>
      </c>
      <c r="B712" s="12" t="str">
        <f>LEFT(A712,5)</f>
        <v>46.14</v>
      </c>
      <c r="C712" s="103">
        <f t="shared" ref="C712:D712" si="511">C710</f>
        <v>41959</v>
      </c>
      <c r="D712" s="99">
        <f t="shared" si="511"/>
        <v>3400</v>
      </c>
      <c r="E712" s="35">
        <f>E710</f>
        <v>0</v>
      </c>
      <c r="F712" s="35">
        <f t="shared" ref="F712:P712" si="512">F710</f>
        <v>0</v>
      </c>
      <c r="G712" s="35">
        <f t="shared" si="512"/>
        <v>0</v>
      </c>
      <c r="H712" s="35">
        <f t="shared" si="512"/>
        <v>42135.24</v>
      </c>
      <c r="I712" s="35">
        <f t="shared" si="512"/>
        <v>0</v>
      </c>
      <c r="J712" s="35">
        <f t="shared" si="512"/>
        <v>42135.24</v>
      </c>
      <c r="K712" s="35">
        <f t="shared" si="512"/>
        <v>0</v>
      </c>
      <c r="L712" s="35">
        <f t="shared" si="512"/>
        <v>0</v>
      </c>
      <c r="M712" s="35">
        <f t="shared" si="512"/>
        <v>0</v>
      </c>
      <c r="N712" s="35">
        <f t="shared" si="512"/>
        <v>42135.24</v>
      </c>
      <c r="O712" s="35">
        <f t="shared" si="512"/>
        <v>0</v>
      </c>
      <c r="P712" s="35">
        <f t="shared" si="512"/>
        <v>42135.24</v>
      </c>
    </row>
    <row r="713" spans="1:19" x14ac:dyDescent="0.25">
      <c r="C713" s="104"/>
      <c r="D713" s="100"/>
      <c r="E713" s="34"/>
      <c r="F713" s="34"/>
      <c r="G713" s="34">
        <f t="shared" si="475"/>
        <v>0</v>
      </c>
      <c r="H713" s="34"/>
      <c r="I713" s="34"/>
      <c r="J713" s="34">
        <f t="shared" si="476"/>
        <v>0</v>
      </c>
      <c r="K713" s="34"/>
      <c r="L713" s="34"/>
      <c r="M713" s="34">
        <f t="shared" si="477"/>
        <v>0</v>
      </c>
      <c r="N713" s="34">
        <f t="shared" si="478"/>
        <v>0</v>
      </c>
      <c r="O713" s="34">
        <f t="shared" si="479"/>
        <v>0</v>
      </c>
      <c r="P713" s="34"/>
    </row>
    <row r="714" spans="1:19" x14ac:dyDescent="0.25">
      <c r="A714" s="8" t="s">
        <v>387</v>
      </c>
      <c r="B714" s="4" t="str">
        <f>LEFT(A714,4)</f>
        <v>5061</v>
      </c>
      <c r="C714" s="104">
        <f>698+2433</f>
        <v>3131</v>
      </c>
      <c r="D714" s="100">
        <v>756</v>
      </c>
      <c r="E714" s="34"/>
      <c r="F714" s="34"/>
      <c r="G714" s="34">
        <f t="shared" si="475"/>
        <v>0</v>
      </c>
      <c r="H714" s="34">
        <f>VLOOKUP($B714,Utility!$A$5:$D$248,3,0)</f>
        <v>1853.44</v>
      </c>
      <c r="I714" s="34">
        <f>VLOOKUP($B714,Utility!$A$5:$D$248,4,0)</f>
        <v>0</v>
      </c>
      <c r="J714" s="34">
        <f t="shared" si="476"/>
        <v>1853.44</v>
      </c>
      <c r="K714" s="34"/>
      <c r="L714" s="34"/>
      <c r="M714" s="34">
        <f t="shared" si="477"/>
        <v>0</v>
      </c>
      <c r="N714" s="34">
        <f t="shared" si="478"/>
        <v>1853.44</v>
      </c>
      <c r="O714" s="34">
        <f t="shared" si="479"/>
        <v>0</v>
      </c>
      <c r="P714" s="34">
        <f t="shared" si="480"/>
        <v>1853.44</v>
      </c>
      <c r="R714" s="4">
        <f>582+2027</f>
        <v>2609</v>
      </c>
      <c r="S714" s="98">
        <f>R714-P714</f>
        <v>755.56</v>
      </c>
    </row>
    <row r="715" spans="1:19" x14ac:dyDescent="0.25">
      <c r="A715" s="8" t="s">
        <v>8</v>
      </c>
      <c r="C715" s="103">
        <f t="shared" ref="C715:D715" si="513">C714</f>
        <v>3131</v>
      </c>
      <c r="D715" s="99">
        <f t="shared" si="513"/>
        <v>756</v>
      </c>
      <c r="E715" s="35">
        <f>E714</f>
        <v>0</v>
      </c>
      <c r="F715" s="35">
        <f t="shared" ref="F715:P715" si="514">F714</f>
        <v>0</v>
      </c>
      <c r="G715" s="35">
        <f t="shared" si="514"/>
        <v>0</v>
      </c>
      <c r="H715" s="35">
        <f t="shared" si="514"/>
        <v>1853.44</v>
      </c>
      <c r="I715" s="35">
        <f t="shared" si="514"/>
        <v>0</v>
      </c>
      <c r="J715" s="35">
        <f t="shared" si="514"/>
        <v>1853.44</v>
      </c>
      <c r="K715" s="35">
        <f t="shared" si="514"/>
        <v>0</v>
      </c>
      <c r="L715" s="35">
        <f t="shared" si="514"/>
        <v>0</v>
      </c>
      <c r="M715" s="35">
        <f t="shared" si="514"/>
        <v>0</v>
      </c>
      <c r="N715" s="35">
        <f t="shared" si="514"/>
        <v>1853.44</v>
      </c>
      <c r="O715" s="35">
        <f t="shared" si="514"/>
        <v>0</v>
      </c>
      <c r="P715" s="35">
        <f t="shared" si="514"/>
        <v>1853.44</v>
      </c>
    </row>
    <row r="716" spans="1:19" x14ac:dyDescent="0.25">
      <c r="C716" s="104"/>
      <c r="D716" s="100"/>
      <c r="E716" s="34"/>
      <c r="F716" s="34"/>
      <c r="G716" s="34">
        <f t="shared" si="475"/>
        <v>0</v>
      </c>
      <c r="H716" s="34"/>
      <c r="I716" s="34"/>
      <c r="J716" s="34">
        <f t="shared" si="476"/>
        <v>0</v>
      </c>
      <c r="K716" s="34"/>
      <c r="L716" s="34"/>
      <c r="M716" s="34">
        <f t="shared" si="477"/>
        <v>0</v>
      </c>
      <c r="N716" s="34">
        <f t="shared" si="478"/>
        <v>0</v>
      </c>
      <c r="O716" s="34">
        <f t="shared" si="479"/>
        <v>0</v>
      </c>
      <c r="P716" s="34"/>
    </row>
    <row r="717" spans="1:19" x14ac:dyDescent="0.25">
      <c r="A717" s="9" t="s">
        <v>388</v>
      </c>
      <c r="B717" s="12" t="str">
        <f>LEFT(A717,5)</f>
        <v>46.15</v>
      </c>
      <c r="C717" s="103">
        <f t="shared" ref="C717:D717" si="515">C715</f>
        <v>3131</v>
      </c>
      <c r="D717" s="99">
        <f t="shared" si="515"/>
        <v>756</v>
      </c>
      <c r="E717" s="35">
        <f>E715</f>
        <v>0</v>
      </c>
      <c r="F717" s="35">
        <f t="shared" ref="F717:P717" si="516">F715</f>
        <v>0</v>
      </c>
      <c r="G717" s="35">
        <f t="shared" si="516"/>
        <v>0</v>
      </c>
      <c r="H717" s="35">
        <f t="shared" si="516"/>
        <v>1853.44</v>
      </c>
      <c r="I717" s="35">
        <f t="shared" si="516"/>
        <v>0</v>
      </c>
      <c r="J717" s="35">
        <f t="shared" si="516"/>
        <v>1853.44</v>
      </c>
      <c r="K717" s="35">
        <f t="shared" si="516"/>
        <v>0</v>
      </c>
      <c r="L717" s="35">
        <f t="shared" si="516"/>
        <v>0</v>
      </c>
      <c r="M717" s="35">
        <f t="shared" si="516"/>
        <v>0</v>
      </c>
      <c r="N717" s="35">
        <f t="shared" si="516"/>
        <v>1853.44</v>
      </c>
      <c r="O717" s="35">
        <f t="shared" si="516"/>
        <v>0</v>
      </c>
      <c r="P717" s="35">
        <f t="shared" si="516"/>
        <v>1853.44</v>
      </c>
    </row>
    <row r="718" spans="1:19" x14ac:dyDescent="0.25">
      <c r="C718" s="104"/>
      <c r="D718" s="100"/>
      <c r="E718" s="34"/>
      <c r="F718" s="34"/>
      <c r="G718" s="34">
        <f t="shared" si="475"/>
        <v>0</v>
      </c>
      <c r="H718" s="34"/>
      <c r="I718" s="34"/>
      <c r="J718" s="34">
        <f t="shared" si="476"/>
        <v>0</v>
      </c>
      <c r="K718" s="34"/>
      <c r="L718" s="34"/>
      <c r="M718" s="34">
        <f t="shared" si="477"/>
        <v>0</v>
      </c>
      <c r="N718" s="34">
        <f t="shared" si="478"/>
        <v>0</v>
      </c>
      <c r="O718" s="34">
        <f t="shared" si="479"/>
        <v>0</v>
      </c>
      <c r="P718" s="34"/>
    </row>
    <row r="719" spans="1:19" x14ac:dyDescent="0.25">
      <c r="A719" s="8" t="s">
        <v>389</v>
      </c>
      <c r="B719" s="4" t="str">
        <f>LEFT(A719,4)</f>
        <v>5011</v>
      </c>
      <c r="C719" s="104">
        <v>400</v>
      </c>
      <c r="D719" s="100">
        <v>30</v>
      </c>
      <c r="E719" s="34"/>
      <c r="F719" s="34"/>
      <c r="G719" s="34">
        <f t="shared" si="475"/>
        <v>0</v>
      </c>
      <c r="H719" s="34">
        <f>VLOOKUP($B719,Utility!$A$5:$D$248,3,0)</f>
        <v>279.62</v>
      </c>
      <c r="I719" s="34">
        <f>VLOOKUP($B719,Utility!$A$5:$D$248,4,0)</f>
        <v>0</v>
      </c>
      <c r="J719" s="34">
        <f t="shared" si="476"/>
        <v>279.62</v>
      </c>
      <c r="K719" s="34"/>
      <c r="L719" s="34"/>
      <c r="M719" s="34">
        <f t="shared" si="477"/>
        <v>0</v>
      </c>
      <c r="N719" s="34">
        <f t="shared" si="478"/>
        <v>279.62</v>
      </c>
      <c r="O719" s="34">
        <f t="shared" si="479"/>
        <v>0</v>
      </c>
      <c r="P719" s="34">
        <f t="shared" si="480"/>
        <v>279.62</v>
      </c>
    </row>
    <row r="720" spans="1:19" x14ac:dyDescent="0.25">
      <c r="A720" s="8" t="s">
        <v>8</v>
      </c>
      <c r="C720" s="103">
        <f t="shared" ref="C720:D720" si="517">C719</f>
        <v>400</v>
      </c>
      <c r="D720" s="99">
        <f t="shared" si="517"/>
        <v>30</v>
      </c>
      <c r="E720" s="35">
        <f>E719</f>
        <v>0</v>
      </c>
      <c r="F720" s="35">
        <f t="shared" ref="F720:P720" si="518">F719</f>
        <v>0</v>
      </c>
      <c r="G720" s="35">
        <f t="shared" si="518"/>
        <v>0</v>
      </c>
      <c r="H720" s="35">
        <f t="shared" si="518"/>
        <v>279.62</v>
      </c>
      <c r="I720" s="35">
        <f t="shared" si="518"/>
        <v>0</v>
      </c>
      <c r="J720" s="35">
        <f t="shared" si="518"/>
        <v>279.62</v>
      </c>
      <c r="K720" s="35">
        <f t="shared" si="518"/>
        <v>0</v>
      </c>
      <c r="L720" s="35">
        <f t="shared" si="518"/>
        <v>0</v>
      </c>
      <c r="M720" s="35">
        <f t="shared" si="518"/>
        <v>0</v>
      </c>
      <c r="N720" s="35">
        <f t="shared" si="518"/>
        <v>279.62</v>
      </c>
      <c r="O720" s="35">
        <f t="shared" si="518"/>
        <v>0</v>
      </c>
      <c r="P720" s="35">
        <f t="shared" si="518"/>
        <v>279.62</v>
      </c>
    </row>
    <row r="721" spans="1:18" x14ac:dyDescent="0.25">
      <c r="C721" s="104"/>
      <c r="D721" s="100"/>
      <c r="E721" s="34"/>
      <c r="F721" s="34"/>
      <c r="G721" s="34">
        <f t="shared" si="475"/>
        <v>0</v>
      </c>
      <c r="H721" s="34"/>
      <c r="I721" s="34"/>
      <c r="J721" s="34">
        <f t="shared" si="476"/>
        <v>0</v>
      </c>
      <c r="K721" s="34"/>
      <c r="L721" s="34"/>
      <c r="M721" s="34">
        <f t="shared" si="477"/>
        <v>0</v>
      </c>
      <c r="N721" s="34">
        <f t="shared" si="478"/>
        <v>0</v>
      </c>
      <c r="O721" s="34">
        <f t="shared" si="479"/>
        <v>0</v>
      </c>
      <c r="P721" s="34"/>
    </row>
    <row r="722" spans="1:18" x14ac:dyDescent="0.25">
      <c r="A722" s="9" t="s">
        <v>390</v>
      </c>
      <c r="B722" s="12" t="str">
        <f>LEFT(A722,5)</f>
        <v>46.16</v>
      </c>
      <c r="C722" s="103">
        <f t="shared" ref="C722:D722" si="519">C720</f>
        <v>400</v>
      </c>
      <c r="D722" s="99">
        <f t="shared" si="519"/>
        <v>30</v>
      </c>
      <c r="E722" s="35">
        <f>E720</f>
        <v>0</v>
      </c>
      <c r="F722" s="35">
        <f t="shared" ref="F722:P722" si="520">F720</f>
        <v>0</v>
      </c>
      <c r="G722" s="35">
        <f t="shared" si="520"/>
        <v>0</v>
      </c>
      <c r="H722" s="35">
        <f t="shared" si="520"/>
        <v>279.62</v>
      </c>
      <c r="I722" s="35">
        <f t="shared" si="520"/>
        <v>0</v>
      </c>
      <c r="J722" s="35">
        <f t="shared" si="520"/>
        <v>279.62</v>
      </c>
      <c r="K722" s="35">
        <f t="shared" si="520"/>
        <v>0</v>
      </c>
      <c r="L722" s="35">
        <f t="shared" si="520"/>
        <v>0</v>
      </c>
      <c r="M722" s="35">
        <f t="shared" si="520"/>
        <v>0</v>
      </c>
      <c r="N722" s="35">
        <f t="shared" si="520"/>
        <v>279.62</v>
      </c>
      <c r="O722" s="35">
        <f t="shared" si="520"/>
        <v>0</v>
      </c>
      <c r="P722" s="35">
        <f t="shared" si="520"/>
        <v>279.62</v>
      </c>
    </row>
    <row r="723" spans="1:18" x14ac:dyDescent="0.25">
      <c r="C723" s="104"/>
      <c r="D723" s="100"/>
      <c r="E723" s="34"/>
      <c r="F723" s="34"/>
      <c r="G723" s="34">
        <f t="shared" si="475"/>
        <v>0</v>
      </c>
      <c r="H723" s="34"/>
      <c r="I723" s="34"/>
      <c r="J723" s="34">
        <f t="shared" si="476"/>
        <v>0</v>
      </c>
      <c r="K723" s="34"/>
      <c r="L723" s="34"/>
      <c r="M723" s="34">
        <f t="shared" si="477"/>
        <v>0</v>
      </c>
      <c r="N723" s="34">
        <f t="shared" si="478"/>
        <v>0</v>
      </c>
      <c r="O723" s="34">
        <f t="shared" si="479"/>
        <v>0</v>
      </c>
      <c r="P723" s="34"/>
    </row>
    <row r="724" spans="1:18" x14ac:dyDescent="0.25">
      <c r="A724" s="8" t="s">
        <v>391</v>
      </c>
      <c r="B724" s="4" t="str">
        <f>LEFT(A724,4)</f>
        <v>5025</v>
      </c>
      <c r="C724" s="214">
        <v>500</v>
      </c>
      <c r="D724" s="215">
        <v>500</v>
      </c>
      <c r="E724" s="34"/>
      <c r="F724" s="34"/>
      <c r="G724" s="34">
        <f t="shared" si="475"/>
        <v>0</v>
      </c>
      <c r="H724" s="34">
        <f>VLOOKUP($B724,Utility!$A$5:$D$248,3,0)</f>
        <v>0</v>
      </c>
      <c r="I724" s="34">
        <f>VLOOKUP($B724,Utility!$A$5:$D$248,4,0)</f>
        <v>0</v>
      </c>
      <c r="J724" s="34">
        <f t="shared" si="476"/>
        <v>0</v>
      </c>
      <c r="K724" s="34"/>
      <c r="L724" s="34"/>
      <c r="M724" s="34">
        <f t="shared" si="477"/>
        <v>0</v>
      </c>
      <c r="N724" s="34">
        <f t="shared" si="478"/>
        <v>0</v>
      </c>
      <c r="O724" s="34">
        <f t="shared" si="479"/>
        <v>0</v>
      </c>
      <c r="P724" s="34">
        <f t="shared" si="480"/>
        <v>0</v>
      </c>
    </row>
    <row r="725" spans="1:18" x14ac:dyDescent="0.25">
      <c r="A725" s="8" t="s">
        <v>8</v>
      </c>
      <c r="C725" s="103">
        <f t="shared" ref="C725:D725" si="521">C724</f>
        <v>500</v>
      </c>
      <c r="D725" s="99">
        <f t="shared" si="521"/>
        <v>500</v>
      </c>
      <c r="E725" s="35">
        <f>E724</f>
        <v>0</v>
      </c>
      <c r="F725" s="35">
        <f t="shared" ref="F725:P725" si="522">F724</f>
        <v>0</v>
      </c>
      <c r="G725" s="35">
        <f t="shared" si="522"/>
        <v>0</v>
      </c>
      <c r="H725" s="35">
        <f t="shared" si="522"/>
        <v>0</v>
      </c>
      <c r="I725" s="35">
        <f t="shared" si="522"/>
        <v>0</v>
      </c>
      <c r="J725" s="35">
        <f t="shared" si="522"/>
        <v>0</v>
      </c>
      <c r="K725" s="35">
        <f t="shared" si="522"/>
        <v>0</v>
      </c>
      <c r="L725" s="35">
        <f t="shared" si="522"/>
        <v>0</v>
      </c>
      <c r="M725" s="35">
        <f t="shared" si="522"/>
        <v>0</v>
      </c>
      <c r="N725" s="35">
        <f t="shared" si="522"/>
        <v>0</v>
      </c>
      <c r="O725" s="35">
        <f t="shared" si="522"/>
        <v>0</v>
      </c>
      <c r="P725" s="35">
        <f t="shared" si="522"/>
        <v>0</v>
      </c>
    </row>
    <row r="726" spans="1:18" x14ac:dyDescent="0.25">
      <c r="C726" s="104"/>
      <c r="D726" s="100"/>
      <c r="E726" s="34"/>
      <c r="F726" s="34"/>
      <c r="G726" s="34">
        <f t="shared" si="475"/>
        <v>0</v>
      </c>
      <c r="H726" s="34"/>
      <c r="I726" s="34"/>
      <c r="J726" s="34">
        <f t="shared" si="476"/>
        <v>0</v>
      </c>
      <c r="K726" s="34"/>
      <c r="L726" s="34"/>
      <c r="M726" s="34">
        <f t="shared" si="477"/>
        <v>0</v>
      </c>
      <c r="N726" s="34">
        <f t="shared" si="478"/>
        <v>0</v>
      </c>
      <c r="O726" s="34">
        <f t="shared" si="479"/>
        <v>0</v>
      </c>
      <c r="P726" s="34"/>
    </row>
    <row r="727" spans="1:18" x14ac:dyDescent="0.25">
      <c r="A727" s="9" t="s">
        <v>392</v>
      </c>
      <c r="B727" s="12" t="str">
        <f>LEFT(A727,5)</f>
        <v>46.20</v>
      </c>
      <c r="C727" s="103">
        <f t="shared" ref="C727:D727" si="523">C725</f>
        <v>500</v>
      </c>
      <c r="D727" s="99">
        <f t="shared" si="523"/>
        <v>500</v>
      </c>
      <c r="E727" s="35">
        <f>E725</f>
        <v>0</v>
      </c>
      <c r="F727" s="35">
        <f t="shared" ref="F727:P727" si="524">F725</f>
        <v>0</v>
      </c>
      <c r="G727" s="35">
        <f t="shared" si="524"/>
        <v>0</v>
      </c>
      <c r="H727" s="35">
        <f t="shared" si="524"/>
        <v>0</v>
      </c>
      <c r="I727" s="35">
        <f t="shared" si="524"/>
        <v>0</v>
      </c>
      <c r="J727" s="35">
        <f t="shared" si="524"/>
        <v>0</v>
      </c>
      <c r="K727" s="35">
        <f t="shared" si="524"/>
        <v>0</v>
      </c>
      <c r="L727" s="35">
        <f t="shared" si="524"/>
        <v>0</v>
      </c>
      <c r="M727" s="35">
        <f t="shared" si="524"/>
        <v>0</v>
      </c>
      <c r="N727" s="35">
        <f t="shared" si="524"/>
        <v>0</v>
      </c>
      <c r="O727" s="35">
        <f t="shared" si="524"/>
        <v>0</v>
      </c>
      <c r="P727" s="35">
        <f t="shared" si="524"/>
        <v>0</v>
      </c>
    </row>
    <row r="728" spans="1:18" x14ac:dyDescent="0.25">
      <c r="C728" s="104"/>
      <c r="D728" s="100"/>
      <c r="E728" s="34"/>
      <c r="F728" s="34"/>
      <c r="G728" s="34">
        <f t="shared" si="475"/>
        <v>0</v>
      </c>
      <c r="H728" s="34"/>
      <c r="I728" s="34"/>
      <c r="J728" s="34">
        <f t="shared" si="476"/>
        <v>0</v>
      </c>
      <c r="K728" s="34"/>
      <c r="L728" s="34"/>
      <c r="M728" s="34">
        <f t="shared" si="477"/>
        <v>0</v>
      </c>
      <c r="N728" s="34">
        <f t="shared" si="478"/>
        <v>0</v>
      </c>
      <c r="O728" s="34">
        <f t="shared" si="479"/>
        <v>0</v>
      </c>
      <c r="P728" s="34"/>
    </row>
    <row r="729" spans="1:18" x14ac:dyDescent="0.25">
      <c r="A729" s="8" t="s">
        <v>393</v>
      </c>
      <c r="B729" s="4" t="str">
        <f>LEFT(A729,4)</f>
        <v>5001</v>
      </c>
      <c r="C729" s="104">
        <v>9500</v>
      </c>
      <c r="D729" s="100">
        <v>1000</v>
      </c>
      <c r="E729" s="34"/>
      <c r="F729" s="34"/>
      <c r="G729" s="34">
        <f t="shared" si="475"/>
        <v>0</v>
      </c>
      <c r="H729" s="34">
        <f>VLOOKUP($B729,Utility!$A$5:$D$248,3,0)</f>
        <v>8016.43</v>
      </c>
      <c r="I729" s="34">
        <f>VLOOKUP($B729,Utility!$A$5:$D$248,4,0)</f>
        <v>0</v>
      </c>
      <c r="J729" s="34">
        <f t="shared" si="476"/>
        <v>8016.43</v>
      </c>
      <c r="K729" s="34"/>
      <c r="L729" s="34"/>
      <c r="M729" s="34">
        <f t="shared" si="477"/>
        <v>0</v>
      </c>
      <c r="N729" s="34">
        <f t="shared" si="478"/>
        <v>8016.43</v>
      </c>
      <c r="O729" s="34">
        <f t="shared" si="479"/>
        <v>0</v>
      </c>
      <c r="P729" s="34">
        <f t="shared" si="480"/>
        <v>8016.43</v>
      </c>
    </row>
    <row r="730" spans="1:18" x14ac:dyDescent="0.25">
      <c r="A730" s="8" t="s">
        <v>8</v>
      </c>
      <c r="C730" s="103">
        <f t="shared" ref="C730:D730" si="525">C729</f>
        <v>9500</v>
      </c>
      <c r="D730" s="99">
        <f t="shared" si="525"/>
        <v>1000</v>
      </c>
      <c r="E730" s="35">
        <f>E729</f>
        <v>0</v>
      </c>
      <c r="F730" s="35">
        <f t="shared" ref="F730:P730" si="526">F729</f>
        <v>0</v>
      </c>
      <c r="G730" s="35">
        <f t="shared" si="526"/>
        <v>0</v>
      </c>
      <c r="H730" s="35">
        <f t="shared" si="526"/>
        <v>8016.43</v>
      </c>
      <c r="I730" s="35">
        <f t="shared" si="526"/>
        <v>0</v>
      </c>
      <c r="J730" s="35">
        <f t="shared" si="526"/>
        <v>8016.43</v>
      </c>
      <c r="K730" s="35">
        <f t="shared" si="526"/>
        <v>0</v>
      </c>
      <c r="L730" s="35">
        <f t="shared" si="526"/>
        <v>0</v>
      </c>
      <c r="M730" s="35">
        <f t="shared" si="526"/>
        <v>0</v>
      </c>
      <c r="N730" s="35">
        <f t="shared" si="526"/>
        <v>8016.43</v>
      </c>
      <c r="O730" s="35">
        <f t="shared" si="526"/>
        <v>0</v>
      </c>
      <c r="P730" s="35">
        <f t="shared" si="526"/>
        <v>8016.43</v>
      </c>
    </row>
    <row r="731" spans="1:18" x14ac:dyDescent="0.25">
      <c r="C731" s="104"/>
      <c r="D731" s="100"/>
      <c r="E731" s="34"/>
      <c r="F731" s="34"/>
      <c r="G731" s="34">
        <f t="shared" ref="G731:G794" si="527">IF(E731&gt;0,E731,-F731)</f>
        <v>0</v>
      </c>
      <c r="H731" s="34"/>
      <c r="I731" s="34"/>
      <c r="J731" s="34">
        <f t="shared" ref="J731:J793" si="528">IF(H731&gt;0,H731,-I731)</f>
        <v>0</v>
      </c>
      <c r="K731" s="34"/>
      <c r="L731" s="34"/>
      <c r="M731" s="34">
        <f t="shared" ref="M731:M793" si="529">IF(K731&gt;0,K731,-L731)</f>
        <v>0</v>
      </c>
      <c r="N731" s="34">
        <f t="shared" ref="N731:N794" si="530">E731+H731+K731</f>
        <v>0</v>
      </c>
      <c r="O731" s="34">
        <f t="shared" ref="O731:O794" si="531">F731+I731+L731</f>
        <v>0</v>
      </c>
      <c r="P731" s="34"/>
    </row>
    <row r="732" spans="1:18" x14ac:dyDescent="0.25">
      <c r="A732" s="9" t="s">
        <v>394</v>
      </c>
      <c r="B732" s="12" t="str">
        <f>LEFT(A732,5)</f>
        <v>46.21</v>
      </c>
      <c r="C732" s="103">
        <f t="shared" ref="C732:D732" si="532">C730</f>
        <v>9500</v>
      </c>
      <c r="D732" s="99">
        <f t="shared" si="532"/>
        <v>1000</v>
      </c>
      <c r="E732" s="35">
        <f>E730</f>
        <v>0</v>
      </c>
      <c r="F732" s="35">
        <f t="shared" ref="F732:P732" si="533">F730</f>
        <v>0</v>
      </c>
      <c r="G732" s="35">
        <f t="shared" si="533"/>
        <v>0</v>
      </c>
      <c r="H732" s="35">
        <f t="shared" si="533"/>
        <v>8016.43</v>
      </c>
      <c r="I732" s="35">
        <f t="shared" si="533"/>
        <v>0</v>
      </c>
      <c r="J732" s="35">
        <f t="shared" si="533"/>
        <v>8016.43</v>
      </c>
      <c r="K732" s="35">
        <f t="shared" si="533"/>
        <v>0</v>
      </c>
      <c r="L732" s="35">
        <f t="shared" si="533"/>
        <v>0</v>
      </c>
      <c r="M732" s="35">
        <f t="shared" si="533"/>
        <v>0</v>
      </c>
      <c r="N732" s="35">
        <f t="shared" si="533"/>
        <v>8016.43</v>
      </c>
      <c r="O732" s="35">
        <f t="shared" si="533"/>
        <v>0</v>
      </c>
      <c r="P732" s="35">
        <f t="shared" si="533"/>
        <v>8016.43</v>
      </c>
    </row>
    <row r="733" spans="1:18" x14ac:dyDescent="0.25">
      <c r="C733" s="104"/>
      <c r="D733" s="100"/>
      <c r="E733" s="34"/>
      <c r="F733" s="34"/>
      <c r="G733" s="34">
        <f t="shared" si="527"/>
        <v>0</v>
      </c>
      <c r="H733" s="34"/>
      <c r="I733" s="34"/>
      <c r="J733" s="34">
        <f t="shared" si="528"/>
        <v>0</v>
      </c>
      <c r="K733" s="34"/>
      <c r="L733" s="34"/>
      <c r="M733" s="34">
        <f t="shared" si="529"/>
        <v>0</v>
      </c>
      <c r="N733" s="34">
        <f t="shared" si="530"/>
        <v>0</v>
      </c>
      <c r="O733" s="34">
        <f t="shared" si="531"/>
        <v>0</v>
      </c>
      <c r="P733" s="34"/>
    </row>
    <row r="734" spans="1:18" x14ac:dyDescent="0.25">
      <c r="A734" s="8" t="s">
        <v>395</v>
      </c>
      <c r="B734" s="4" t="str">
        <f>LEFT(A734,4)</f>
        <v>5081</v>
      </c>
      <c r="C734" s="104">
        <v>2000</v>
      </c>
      <c r="D734" s="100">
        <v>2000</v>
      </c>
      <c r="E734" s="34"/>
      <c r="F734" s="34"/>
      <c r="G734" s="34">
        <f t="shared" si="527"/>
        <v>0</v>
      </c>
      <c r="H734" s="34">
        <f>VLOOKUP($B734,Utility!$A$5:$D$248,3,0)</f>
        <v>0</v>
      </c>
      <c r="I734" s="34">
        <f>VLOOKUP($B734,Utility!$A$5:$D$248,4,0)</f>
        <v>0</v>
      </c>
      <c r="J734" s="34">
        <f t="shared" si="528"/>
        <v>0</v>
      </c>
      <c r="K734" s="34"/>
      <c r="L734" s="34"/>
      <c r="M734" s="34">
        <f t="shared" si="529"/>
        <v>0</v>
      </c>
      <c r="N734" s="34">
        <f t="shared" si="530"/>
        <v>0</v>
      </c>
      <c r="O734" s="34">
        <f t="shared" si="531"/>
        <v>0</v>
      </c>
      <c r="P734" s="34">
        <f t="shared" ref="P734" si="534">IF(N734&gt;0,N734,-O734)</f>
        <v>0</v>
      </c>
      <c r="R734" s="4" t="s">
        <v>2235</v>
      </c>
    </row>
    <row r="735" spans="1:18" x14ac:dyDescent="0.25">
      <c r="A735" s="8" t="s">
        <v>8</v>
      </c>
      <c r="C735" s="103">
        <f t="shared" ref="C735:D735" si="535">C734</f>
        <v>2000</v>
      </c>
      <c r="D735" s="99">
        <f t="shared" si="535"/>
        <v>2000</v>
      </c>
      <c r="E735" s="35">
        <f>E734</f>
        <v>0</v>
      </c>
      <c r="F735" s="35">
        <f t="shared" ref="F735:P735" si="536">F734</f>
        <v>0</v>
      </c>
      <c r="G735" s="35">
        <f t="shared" si="536"/>
        <v>0</v>
      </c>
      <c r="H735" s="35">
        <f t="shared" si="536"/>
        <v>0</v>
      </c>
      <c r="I735" s="35">
        <f t="shared" si="536"/>
        <v>0</v>
      </c>
      <c r="J735" s="35">
        <f t="shared" si="536"/>
        <v>0</v>
      </c>
      <c r="K735" s="35">
        <f t="shared" si="536"/>
        <v>0</v>
      </c>
      <c r="L735" s="35">
        <f t="shared" si="536"/>
        <v>0</v>
      </c>
      <c r="M735" s="35">
        <f t="shared" si="536"/>
        <v>0</v>
      </c>
      <c r="N735" s="35">
        <f t="shared" si="536"/>
        <v>0</v>
      </c>
      <c r="O735" s="35">
        <f t="shared" si="536"/>
        <v>0</v>
      </c>
      <c r="P735" s="35">
        <f t="shared" si="536"/>
        <v>0</v>
      </c>
    </row>
    <row r="736" spans="1:18" x14ac:dyDescent="0.25">
      <c r="C736" s="104"/>
      <c r="D736" s="100"/>
      <c r="E736" s="34"/>
      <c r="F736" s="34"/>
      <c r="G736" s="34">
        <f t="shared" si="527"/>
        <v>0</v>
      </c>
      <c r="H736" s="34"/>
      <c r="I736" s="34"/>
      <c r="J736" s="34">
        <f t="shared" si="528"/>
        <v>0</v>
      </c>
      <c r="K736" s="34"/>
      <c r="L736" s="34"/>
      <c r="M736" s="34">
        <f t="shared" si="529"/>
        <v>0</v>
      </c>
      <c r="N736" s="34">
        <f t="shared" si="530"/>
        <v>0</v>
      </c>
      <c r="O736" s="34">
        <f t="shared" si="531"/>
        <v>0</v>
      </c>
      <c r="P736" s="34"/>
    </row>
    <row r="737" spans="1:20" x14ac:dyDescent="0.25">
      <c r="A737" s="9" t="s">
        <v>396</v>
      </c>
      <c r="B737" s="12" t="str">
        <f>LEFT(A737,5)</f>
        <v>46.24</v>
      </c>
      <c r="C737" s="103">
        <f t="shared" ref="C737:D737" si="537">C735</f>
        <v>2000</v>
      </c>
      <c r="D737" s="99">
        <f t="shared" si="537"/>
        <v>2000</v>
      </c>
      <c r="E737" s="35">
        <f>E735</f>
        <v>0</v>
      </c>
      <c r="F737" s="35">
        <f t="shared" ref="F737:P737" si="538">F735</f>
        <v>0</v>
      </c>
      <c r="G737" s="35">
        <f t="shared" si="538"/>
        <v>0</v>
      </c>
      <c r="H737" s="35">
        <f t="shared" si="538"/>
        <v>0</v>
      </c>
      <c r="I737" s="35">
        <f t="shared" si="538"/>
        <v>0</v>
      </c>
      <c r="J737" s="35">
        <f t="shared" si="538"/>
        <v>0</v>
      </c>
      <c r="K737" s="35">
        <f t="shared" si="538"/>
        <v>0</v>
      </c>
      <c r="L737" s="35">
        <f t="shared" si="538"/>
        <v>0</v>
      </c>
      <c r="M737" s="35">
        <f t="shared" si="538"/>
        <v>0</v>
      </c>
      <c r="N737" s="35">
        <f t="shared" si="538"/>
        <v>0</v>
      </c>
      <c r="O737" s="35">
        <f t="shared" si="538"/>
        <v>0</v>
      </c>
      <c r="P737" s="35">
        <f t="shared" si="538"/>
        <v>0</v>
      </c>
    </row>
    <row r="738" spans="1:20" x14ac:dyDescent="0.25">
      <c r="C738" s="104"/>
      <c r="D738" s="100"/>
      <c r="E738" s="34"/>
      <c r="F738" s="34"/>
      <c r="G738" s="34">
        <f t="shared" si="527"/>
        <v>0</v>
      </c>
      <c r="H738" s="34"/>
      <c r="I738" s="34"/>
      <c r="J738" s="34">
        <f t="shared" si="528"/>
        <v>0</v>
      </c>
      <c r="K738" s="34"/>
      <c r="L738" s="34"/>
      <c r="M738" s="34">
        <f t="shared" si="529"/>
        <v>0</v>
      </c>
      <c r="N738" s="34">
        <f t="shared" si="530"/>
        <v>0</v>
      </c>
      <c r="O738" s="34">
        <f t="shared" si="531"/>
        <v>0</v>
      </c>
      <c r="P738" s="34"/>
    </row>
    <row r="739" spans="1:20" x14ac:dyDescent="0.25">
      <c r="A739" s="8" t="s">
        <v>397</v>
      </c>
      <c r="B739" s="4" t="str">
        <f>LEFT(A739,4)</f>
        <v>5031</v>
      </c>
      <c r="C739" s="104">
        <v>68000</v>
      </c>
      <c r="D739" s="100">
        <v>17500</v>
      </c>
      <c r="E739" s="34"/>
      <c r="F739" s="34"/>
      <c r="G739" s="34">
        <f t="shared" si="527"/>
        <v>0</v>
      </c>
      <c r="H739" s="34">
        <f>VLOOKUP($B739,Utility!$A$5:$D$248,3,0)</f>
        <v>49004.31</v>
      </c>
      <c r="I739" s="34">
        <f>VLOOKUP($B739,Utility!$A$5:$D$248,4,0)</f>
        <v>0</v>
      </c>
      <c r="J739" s="34">
        <f t="shared" si="528"/>
        <v>49004.31</v>
      </c>
      <c r="K739" s="34"/>
      <c r="L739" s="34"/>
      <c r="M739" s="34">
        <f t="shared" si="529"/>
        <v>0</v>
      </c>
      <c r="N739" s="34">
        <f t="shared" si="530"/>
        <v>49004.31</v>
      </c>
      <c r="O739" s="34">
        <f t="shared" si="531"/>
        <v>0</v>
      </c>
      <c r="P739" s="34">
        <f t="shared" ref="P739:P794" si="539">IF(N739&gt;0,N739,-O739)</f>
        <v>49004.31</v>
      </c>
      <c r="R739" s="4">
        <f>65000+1500</f>
        <v>66500</v>
      </c>
      <c r="S739" s="98">
        <f>R739-P739</f>
        <v>17495.690000000002</v>
      </c>
    </row>
    <row r="740" spans="1:20" x14ac:dyDescent="0.25">
      <c r="A740" s="8" t="s">
        <v>8</v>
      </c>
      <c r="C740" s="103">
        <f t="shared" ref="C740:D740" si="540">C739</f>
        <v>68000</v>
      </c>
      <c r="D740" s="99">
        <f t="shared" si="540"/>
        <v>17500</v>
      </c>
      <c r="E740" s="35">
        <f>E739</f>
        <v>0</v>
      </c>
      <c r="F740" s="35">
        <f t="shared" ref="F740:P740" si="541">F739</f>
        <v>0</v>
      </c>
      <c r="G740" s="35">
        <f t="shared" si="541"/>
        <v>0</v>
      </c>
      <c r="H740" s="35">
        <f t="shared" si="541"/>
        <v>49004.31</v>
      </c>
      <c r="I740" s="35">
        <f t="shared" si="541"/>
        <v>0</v>
      </c>
      <c r="J740" s="35">
        <f t="shared" si="541"/>
        <v>49004.31</v>
      </c>
      <c r="K740" s="35">
        <f t="shared" si="541"/>
        <v>0</v>
      </c>
      <c r="L740" s="35">
        <f t="shared" si="541"/>
        <v>0</v>
      </c>
      <c r="M740" s="35">
        <f t="shared" si="541"/>
        <v>0</v>
      </c>
      <c r="N740" s="35">
        <f t="shared" si="541"/>
        <v>49004.31</v>
      </c>
      <c r="O740" s="35">
        <f t="shared" si="541"/>
        <v>0</v>
      </c>
      <c r="P740" s="35">
        <f t="shared" si="541"/>
        <v>49004.31</v>
      </c>
    </row>
    <row r="741" spans="1:20" x14ac:dyDescent="0.25">
      <c r="C741" s="104"/>
      <c r="D741" s="100"/>
      <c r="E741" s="34"/>
      <c r="F741" s="34"/>
      <c r="G741" s="34">
        <f t="shared" si="527"/>
        <v>0</v>
      </c>
      <c r="H741" s="34"/>
      <c r="I741" s="34"/>
      <c r="J741" s="34">
        <f t="shared" si="528"/>
        <v>0</v>
      </c>
      <c r="K741" s="34"/>
      <c r="L741" s="34"/>
      <c r="M741" s="34">
        <f t="shared" si="529"/>
        <v>0</v>
      </c>
      <c r="N741" s="34">
        <f t="shared" si="530"/>
        <v>0</v>
      </c>
      <c r="O741" s="34">
        <f t="shared" si="531"/>
        <v>0</v>
      </c>
      <c r="P741" s="34">
        <f t="shared" si="539"/>
        <v>0</v>
      </c>
    </row>
    <row r="742" spans="1:20" x14ac:dyDescent="0.25">
      <c r="A742" s="9" t="s">
        <v>398</v>
      </c>
      <c r="B742" s="12" t="str">
        <f>LEFT(A742,5)</f>
        <v>46.30</v>
      </c>
      <c r="C742" s="103">
        <f t="shared" ref="C742:D742" si="542">C740</f>
        <v>68000</v>
      </c>
      <c r="D742" s="99">
        <f t="shared" si="542"/>
        <v>17500</v>
      </c>
      <c r="E742" s="35">
        <f>E740</f>
        <v>0</v>
      </c>
      <c r="F742" s="35">
        <f t="shared" ref="F742:P742" si="543">F740</f>
        <v>0</v>
      </c>
      <c r="G742" s="35">
        <f t="shared" si="543"/>
        <v>0</v>
      </c>
      <c r="H742" s="35">
        <f t="shared" si="543"/>
        <v>49004.31</v>
      </c>
      <c r="I742" s="35">
        <f t="shared" si="543"/>
        <v>0</v>
      </c>
      <c r="J742" s="35">
        <f t="shared" si="543"/>
        <v>49004.31</v>
      </c>
      <c r="K742" s="35">
        <f t="shared" si="543"/>
        <v>0</v>
      </c>
      <c r="L742" s="35">
        <f t="shared" si="543"/>
        <v>0</v>
      </c>
      <c r="M742" s="35">
        <f t="shared" si="543"/>
        <v>0</v>
      </c>
      <c r="N742" s="35">
        <f t="shared" si="543"/>
        <v>49004.31</v>
      </c>
      <c r="O742" s="35">
        <f t="shared" si="543"/>
        <v>0</v>
      </c>
      <c r="P742" s="35">
        <f t="shared" si="543"/>
        <v>49004.31</v>
      </c>
    </row>
    <row r="743" spans="1:20" x14ac:dyDescent="0.25">
      <c r="C743" s="104"/>
      <c r="D743" s="100"/>
      <c r="E743" s="34"/>
      <c r="F743" s="34"/>
      <c r="G743" s="34">
        <f t="shared" si="527"/>
        <v>0</v>
      </c>
      <c r="H743" s="34"/>
      <c r="I743" s="34"/>
      <c r="J743" s="34">
        <f t="shared" si="528"/>
        <v>0</v>
      </c>
      <c r="K743" s="34"/>
      <c r="L743" s="34"/>
      <c r="M743" s="34">
        <f t="shared" si="529"/>
        <v>0</v>
      </c>
      <c r="N743" s="34">
        <f t="shared" si="530"/>
        <v>0</v>
      </c>
      <c r="O743" s="34">
        <f t="shared" si="531"/>
        <v>0</v>
      </c>
      <c r="P743" s="34"/>
    </row>
    <row r="744" spans="1:20" x14ac:dyDescent="0.25">
      <c r="A744" s="8" t="s">
        <v>399</v>
      </c>
      <c r="B744" s="4" t="str">
        <f>LEFT(A744,4)</f>
        <v>5091</v>
      </c>
      <c r="C744" s="108">
        <v>69677</v>
      </c>
      <c r="D744" s="109">
        <v>15890</v>
      </c>
      <c r="E744" s="111"/>
      <c r="F744" s="111"/>
      <c r="G744" s="111">
        <f t="shared" si="527"/>
        <v>0</v>
      </c>
      <c r="H744" s="111">
        <f>VLOOKUP($B744,Utility!$A$5:$D$248,3,0)</f>
        <v>49198.65</v>
      </c>
      <c r="I744" s="111">
        <f>VLOOKUP($B744,Utility!$A$5:$D$248,4,0)</f>
        <v>0</v>
      </c>
      <c r="J744" s="111">
        <f t="shared" si="528"/>
        <v>49198.65</v>
      </c>
      <c r="K744" s="111"/>
      <c r="L744" s="111"/>
      <c r="M744" s="111">
        <f t="shared" si="529"/>
        <v>0</v>
      </c>
      <c r="N744" s="111">
        <f t="shared" si="530"/>
        <v>49198.65</v>
      </c>
      <c r="O744" s="111">
        <f t="shared" si="531"/>
        <v>0</v>
      </c>
      <c r="P744" s="111">
        <f t="shared" si="539"/>
        <v>49198.65</v>
      </c>
      <c r="R744" s="4">
        <v>65089</v>
      </c>
      <c r="S744" s="98">
        <f>R744-P744</f>
        <v>15890.349999999999</v>
      </c>
      <c r="T744" s="4" t="s">
        <v>2121</v>
      </c>
    </row>
    <row r="745" spans="1:20" x14ac:dyDescent="0.25">
      <c r="A745" s="8" t="s">
        <v>8</v>
      </c>
      <c r="C745" s="103">
        <f t="shared" ref="C745:D745" si="544">C744</f>
        <v>69677</v>
      </c>
      <c r="D745" s="99">
        <f t="shared" si="544"/>
        <v>15890</v>
      </c>
      <c r="E745" s="35">
        <f>E744</f>
        <v>0</v>
      </c>
      <c r="F745" s="35">
        <f t="shared" ref="F745:P745" si="545">F744</f>
        <v>0</v>
      </c>
      <c r="G745" s="35">
        <f t="shared" si="545"/>
        <v>0</v>
      </c>
      <c r="H745" s="35">
        <f t="shared" si="545"/>
        <v>49198.65</v>
      </c>
      <c r="I745" s="35">
        <f t="shared" si="545"/>
        <v>0</v>
      </c>
      <c r="J745" s="35">
        <f t="shared" si="545"/>
        <v>49198.65</v>
      </c>
      <c r="K745" s="35">
        <f t="shared" si="545"/>
        <v>0</v>
      </c>
      <c r="L745" s="35">
        <f t="shared" si="545"/>
        <v>0</v>
      </c>
      <c r="M745" s="35">
        <f t="shared" si="545"/>
        <v>0</v>
      </c>
      <c r="N745" s="35">
        <f t="shared" si="545"/>
        <v>49198.65</v>
      </c>
      <c r="O745" s="35">
        <f t="shared" si="545"/>
        <v>0</v>
      </c>
      <c r="P745" s="35">
        <f t="shared" si="545"/>
        <v>49198.65</v>
      </c>
    </row>
    <row r="746" spans="1:20" x14ac:dyDescent="0.25">
      <c r="C746" s="104"/>
      <c r="D746" s="100"/>
      <c r="E746" s="34"/>
      <c r="F746" s="34"/>
      <c r="G746" s="34">
        <f t="shared" si="527"/>
        <v>0</v>
      </c>
      <c r="H746" s="34"/>
      <c r="I746" s="34"/>
      <c r="J746" s="34">
        <f t="shared" si="528"/>
        <v>0</v>
      </c>
      <c r="K746" s="34"/>
      <c r="L746" s="34"/>
      <c r="M746" s="34">
        <f t="shared" si="529"/>
        <v>0</v>
      </c>
      <c r="N746" s="34">
        <f t="shared" si="530"/>
        <v>0</v>
      </c>
      <c r="O746" s="34">
        <f t="shared" si="531"/>
        <v>0</v>
      </c>
      <c r="P746" s="34"/>
    </row>
    <row r="747" spans="1:20" x14ac:dyDescent="0.25">
      <c r="A747" s="9" t="s">
        <v>400</v>
      </c>
      <c r="B747" s="12" t="str">
        <f>LEFT(A747,5)</f>
        <v>46.34</v>
      </c>
      <c r="C747" s="103">
        <f t="shared" ref="C747:D747" si="546">C745</f>
        <v>69677</v>
      </c>
      <c r="D747" s="99">
        <f t="shared" si="546"/>
        <v>15890</v>
      </c>
      <c r="E747" s="35">
        <f>E745</f>
        <v>0</v>
      </c>
      <c r="F747" s="35">
        <f t="shared" ref="F747:P747" si="547">F745</f>
        <v>0</v>
      </c>
      <c r="G747" s="35">
        <f t="shared" si="547"/>
        <v>0</v>
      </c>
      <c r="H747" s="35">
        <f t="shared" si="547"/>
        <v>49198.65</v>
      </c>
      <c r="I747" s="35">
        <f t="shared" si="547"/>
        <v>0</v>
      </c>
      <c r="J747" s="35">
        <f t="shared" si="547"/>
        <v>49198.65</v>
      </c>
      <c r="K747" s="35">
        <f t="shared" si="547"/>
        <v>0</v>
      </c>
      <c r="L747" s="35">
        <f t="shared" si="547"/>
        <v>0</v>
      </c>
      <c r="M747" s="35">
        <f t="shared" si="547"/>
        <v>0</v>
      </c>
      <c r="N747" s="35">
        <f t="shared" si="547"/>
        <v>49198.65</v>
      </c>
      <c r="O747" s="35">
        <f t="shared" si="547"/>
        <v>0</v>
      </c>
      <c r="P747" s="35">
        <f t="shared" si="547"/>
        <v>49198.65</v>
      </c>
    </row>
    <row r="748" spans="1:20" x14ac:dyDescent="0.25">
      <c r="C748" s="104"/>
      <c r="D748" s="100"/>
      <c r="E748" s="34"/>
      <c r="F748" s="34"/>
      <c r="G748" s="34">
        <f t="shared" si="527"/>
        <v>0</v>
      </c>
      <c r="H748" s="34"/>
      <c r="I748" s="34"/>
      <c r="J748" s="34">
        <f t="shared" si="528"/>
        <v>0</v>
      </c>
      <c r="K748" s="34"/>
      <c r="L748" s="34"/>
      <c r="M748" s="34">
        <f t="shared" si="529"/>
        <v>0</v>
      </c>
      <c r="N748" s="34">
        <f t="shared" si="530"/>
        <v>0</v>
      </c>
      <c r="O748" s="34">
        <f t="shared" si="531"/>
        <v>0</v>
      </c>
      <c r="P748" s="34"/>
    </row>
    <row r="749" spans="1:20" x14ac:dyDescent="0.25">
      <c r="A749" s="8" t="s">
        <v>401</v>
      </c>
      <c r="B749" s="4" t="str">
        <f>LEFT(A749,4)</f>
        <v>5502</v>
      </c>
      <c r="C749" s="104">
        <v>27600</v>
      </c>
      <c r="D749" s="100">
        <v>0</v>
      </c>
      <c r="E749" s="34"/>
      <c r="F749" s="34"/>
      <c r="G749" s="34">
        <f t="shared" si="527"/>
        <v>0</v>
      </c>
      <c r="H749" s="34">
        <f>VLOOKUP($B749,Utility!$A$5:$D$248,3,0)</f>
        <v>26400</v>
      </c>
      <c r="I749" s="34">
        <f>VLOOKUP($B749,Utility!$A$5:$D$248,4,0)</f>
        <v>0</v>
      </c>
      <c r="J749" s="34">
        <f t="shared" si="528"/>
        <v>26400</v>
      </c>
      <c r="K749" s="34"/>
      <c r="L749" s="34"/>
      <c r="M749" s="34">
        <f t="shared" si="529"/>
        <v>0</v>
      </c>
      <c r="N749" s="34">
        <f t="shared" si="530"/>
        <v>26400</v>
      </c>
      <c r="O749" s="34">
        <f t="shared" si="531"/>
        <v>0</v>
      </c>
      <c r="P749" s="34">
        <f t="shared" si="539"/>
        <v>26400</v>
      </c>
    </row>
    <row r="750" spans="1:20" x14ac:dyDescent="0.25">
      <c r="A750" s="8" t="s">
        <v>8</v>
      </c>
      <c r="C750" s="103">
        <f t="shared" ref="C750:D750" si="548">C749</f>
        <v>27600</v>
      </c>
      <c r="D750" s="99">
        <f t="shared" si="548"/>
        <v>0</v>
      </c>
      <c r="E750" s="35">
        <f>E749</f>
        <v>0</v>
      </c>
      <c r="F750" s="35">
        <f t="shared" ref="F750:P750" si="549">F749</f>
        <v>0</v>
      </c>
      <c r="G750" s="35">
        <f t="shared" si="549"/>
        <v>0</v>
      </c>
      <c r="H750" s="35">
        <f t="shared" si="549"/>
        <v>26400</v>
      </c>
      <c r="I750" s="35">
        <f t="shared" si="549"/>
        <v>0</v>
      </c>
      <c r="J750" s="35">
        <f t="shared" si="549"/>
        <v>26400</v>
      </c>
      <c r="K750" s="35">
        <f t="shared" si="549"/>
        <v>0</v>
      </c>
      <c r="L750" s="35">
        <f t="shared" si="549"/>
        <v>0</v>
      </c>
      <c r="M750" s="35">
        <f t="shared" si="549"/>
        <v>0</v>
      </c>
      <c r="N750" s="35">
        <f t="shared" si="549"/>
        <v>26400</v>
      </c>
      <c r="O750" s="35">
        <f t="shared" si="549"/>
        <v>0</v>
      </c>
      <c r="P750" s="35">
        <f t="shared" si="549"/>
        <v>26400</v>
      </c>
    </row>
    <row r="751" spans="1:20" x14ac:dyDescent="0.25">
      <c r="C751" s="104"/>
      <c r="D751" s="100"/>
      <c r="E751" s="34"/>
      <c r="F751" s="34"/>
      <c r="G751" s="34">
        <f t="shared" si="527"/>
        <v>0</v>
      </c>
      <c r="H751" s="34"/>
      <c r="I751" s="34"/>
      <c r="J751" s="34">
        <f t="shared" si="528"/>
        <v>0</v>
      </c>
      <c r="K751" s="34"/>
      <c r="L751" s="34"/>
      <c r="M751" s="34">
        <f t="shared" si="529"/>
        <v>0</v>
      </c>
      <c r="N751" s="34">
        <f t="shared" si="530"/>
        <v>0</v>
      </c>
      <c r="O751" s="34">
        <f t="shared" si="531"/>
        <v>0</v>
      </c>
      <c r="P751" s="34">
        <f t="shared" si="539"/>
        <v>0</v>
      </c>
    </row>
    <row r="752" spans="1:20" x14ac:dyDescent="0.25">
      <c r="A752" s="9" t="s">
        <v>402</v>
      </c>
      <c r="B752" s="12" t="str">
        <f>LEFT(A752,5)</f>
        <v>47. 1</v>
      </c>
      <c r="C752" s="103">
        <f t="shared" ref="C752:D752" si="550">C750</f>
        <v>27600</v>
      </c>
      <c r="D752" s="99">
        <f t="shared" si="550"/>
        <v>0</v>
      </c>
      <c r="E752" s="35">
        <f>E750</f>
        <v>0</v>
      </c>
      <c r="F752" s="35">
        <f t="shared" ref="F752:P752" si="551">F750</f>
        <v>0</v>
      </c>
      <c r="G752" s="35">
        <f t="shared" si="551"/>
        <v>0</v>
      </c>
      <c r="H752" s="35">
        <f t="shared" si="551"/>
        <v>26400</v>
      </c>
      <c r="I752" s="35">
        <f t="shared" si="551"/>
        <v>0</v>
      </c>
      <c r="J752" s="35">
        <f t="shared" si="551"/>
        <v>26400</v>
      </c>
      <c r="K752" s="35">
        <f t="shared" si="551"/>
        <v>0</v>
      </c>
      <c r="L752" s="35">
        <f t="shared" si="551"/>
        <v>0</v>
      </c>
      <c r="M752" s="35">
        <f t="shared" si="551"/>
        <v>0</v>
      </c>
      <c r="N752" s="35">
        <f t="shared" si="551"/>
        <v>26400</v>
      </c>
      <c r="O752" s="35">
        <f t="shared" si="551"/>
        <v>0</v>
      </c>
      <c r="P752" s="35">
        <f t="shared" si="551"/>
        <v>26400</v>
      </c>
    </row>
    <row r="753" spans="1:18" x14ac:dyDescent="0.25">
      <c r="C753" s="104"/>
      <c r="D753" s="100"/>
      <c r="E753" s="34"/>
      <c r="F753" s="34"/>
      <c r="G753" s="34">
        <f t="shared" si="527"/>
        <v>0</v>
      </c>
      <c r="H753" s="34"/>
      <c r="I753" s="34"/>
      <c r="J753" s="34">
        <f t="shared" si="528"/>
        <v>0</v>
      </c>
      <c r="K753" s="34"/>
      <c r="L753" s="34"/>
      <c r="M753" s="34">
        <f t="shared" si="529"/>
        <v>0</v>
      </c>
      <c r="N753" s="34">
        <f t="shared" si="530"/>
        <v>0</v>
      </c>
      <c r="O753" s="34">
        <f t="shared" si="531"/>
        <v>0</v>
      </c>
      <c r="P753" s="34"/>
    </row>
    <row r="754" spans="1:18" x14ac:dyDescent="0.25">
      <c r="A754" s="8" t="s">
        <v>403</v>
      </c>
      <c r="B754" s="4" t="str">
        <f>LEFT(A754,4)</f>
        <v>5613</v>
      </c>
      <c r="C754" s="104">
        <v>6000</v>
      </c>
      <c r="D754" s="100">
        <v>2000</v>
      </c>
      <c r="E754" s="34"/>
      <c r="F754" s="34"/>
      <c r="G754" s="34">
        <f t="shared" si="527"/>
        <v>0</v>
      </c>
      <c r="H754" s="34">
        <f>VLOOKUP($B754,Utility!$A$5:$D$248,3,0)</f>
        <v>0</v>
      </c>
      <c r="I754" s="34">
        <f>VLOOKUP($B754,Utility!$A$5:$D$248,4,0)</f>
        <v>0</v>
      </c>
      <c r="J754" s="34">
        <f t="shared" si="528"/>
        <v>0</v>
      </c>
      <c r="K754" s="34"/>
      <c r="L754" s="34"/>
      <c r="M754" s="34">
        <f t="shared" si="529"/>
        <v>0</v>
      </c>
      <c r="N754" s="34">
        <f t="shared" si="530"/>
        <v>0</v>
      </c>
      <c r="O754" s="34">
        <f t="shared" si="531"/>
        <v>0</v>
      </c>
      <c r="P754" s="34">
        <f t="shared" si="539"/>
        <v>0</v>
      </c>
      <c r="R754" s="4" t="s">
        <v>2232</v>
      </c>
    </row>
    <row r="755" spans="1:18" x14ac:dyDescent="0.25">
      <c r="A755" s="8" t="s">
        <v>8</v>
      </c>
      <c r="C755" s="103">
        <f t="shared" ref="C755:D755" si="552">C754</f>
        <v>6000</v>
      </c>
      <c r="D755" s="99">
        <f t="shared" si="552"/>
        <v>2000</v>
      </c>
      <c r="E755" s="35">
        <f>E754</f>
        <v>0</v>
      </c>
      <c r="F755" s="35">
        <f t="shared" ref="F755:P755" si="553">F754</f>
        <v>0</v>
      </c>
      <c r="G755" s="35">
        <f t="shared" si="553"/>
        <v>0</v>
      </c>
      <c r="H755" s="35">
        <f t="shared" si="553"/>
        <v>0</v>
      </c>
      <c r="I755" s="35">
        <f t="shared" si="553"/>
        <v>0</v>
      </c>
      <c r="J755" s="35">
        <f t="shared" si="553"/>
        <v>0</v>
      </c>
      <c r="K755" s="35">
        <f t="shared" si="553"/>
        <v>0</v>
      </c>
      <c r="L755" s="35">
        <f t="shared" si="553"/>
        <v>0</v>
      </c>
      <c r="M755" s="35">
        <f t="shared" si="553"/>
        <v>0</v>
      </c>
      <c r="N755" s="35">
        <f t="shared" si="553"/>
        <v>0</v>
      </c>
      <c r="O755" s="35">
        <f t="shared" si="553"/>
        <v>0</v>
      </c>
      <c r="P755" s="35">
        <f t="shared" si="553"/>
        <v>0</v>
      </c>
    </row>
    <row r="756" spans="1:18" x14ac:dyDescent="0.25">
      <c r="C756" s="104"/>
      <c r="D756" s="100"/>
      <c r="E756" s="34"/>
      <c r="F756" s="34"/>
      <c r="G756" s="34">
        <f t="shared" si="527"/>
        <v>0</v>
      </c>
      <c r="H756" s="34"/>
      <c r="I756" s="34"/>
      <c r="J756" s="34">
        <f t="shared" si="528"/>
        <v>0</v>
      </c>
      <c r="K756" s="34"/>
      <c r="L756" s="34"/>
      <c r="M756" s="34">
        <f t="shared" si="529"/>
        <v>0</v>
      </c>
      <c r="N756" s="34">
        <f t="shared" si="530"/>
        <v>0</v>
      </c>
      <c r="O756" s="34">
        <f t="shared" si="531"/>
        <v>0</v>
      </c>
      <c r="P756" s="34"/>
    </row>
    <row r="757" spans="1:18" x14ac:dyDescent="0.25">
      <c r="A757" s="9" t="s">
        <v>404</v>
      </c>
      <c r="B757" s="12" t="str">
        <f>LEFT(A757,5)</f>
        <v>47. 5</v>
      </c>
      <c r="C757" s="103">
        <f t="shared" ref="C757:D757" si="554">C755</f>
        <v>6000</v>
      </c>
      <c r="D757" s="99">
        <f t="shared" si="554"/>
        <v>2000</v>
      </c>
      <c r="E757" s="35">
        <f>E755</f>
        <v>0</v>
      </c>
      <c r="F757" s="35">
        <f t="shared" ref="F757:P757" si="555">F755</f>
        <v>0</v>
      </c>
      <c r="G757" s="35">
        <f t="shared" si="555"/>
        <v>0</v>
      </c>
      <c r="H757" s="35">
        <f t="shared" si="555"/>
        <v>0</v>
      </c>
      <c r="I757" s="35">
        <f t="shared" si="555"/>
        <v>0</v>
      </c>
      <c r="J757" s="35">
        <f t="shared" si="555"/>
        <v>0</v>
      </c>
      <c r="K757" s="35">
        <f t="shared" si="555"/>
        <v>0</v>
      </c>
      <c r="L757" s="35">
        <f t="shared" si="555"/>
        <v>0</v>
      </c>
      <c r="M757" s="35">
        <f t="shared" si="555"/>
        <v>0</v>
      </c>
      <c r="N757" s="35">
        <f t="shared" si="555"/>
        <v>0</v>
      </c>
      <c r="O757" s="35">
        <f t="shared" si="555"/>
        <v>0</v>
      </c>
      <c r="P757" s="35">
        <f t="shared" si="555"/>
        <v>0</v>
      </c>
    </row>
    <row r="758" spans="1:18" x14ac:dyDescent="0.25">
      <c r="C758" s="104"/>
      <c r="D758" s="100"/>
      <c r="E758" s="34"/>
      <c r="F758" s="34"/>
      <c r="G758" s="34">
        <f t="shared" si="527"/>
        <v>0</v>
      </c>
      <c r="H758" s="34"/>
      <c r="I758" s="34"/>
      <c r="J758" s="34">
        <f t="shared" si="528"/>
        <v>0</v>
      </c>
      <c r="K758" s="34"/>
      <c r="L758" s="34"/>
      <c r="M758" s="34">
        <f t="shared" si="529"/>
        <v>0</v>
      </c>
      <c r="N758" s="34">
        <f t="shared" si="530"/>
        <v>0</v>
      </c>
      <c r="O758" s="34">
        <f t="shared" si="531"/>
        <v>0</v>
      </c>
      <c r="P758" s="34"/>
    </row>
    <row r="759" spans="1:18" x14ac:dyDescent="0.25">
      <c r="A759" s="8" t="s">
        <v>405</v>
      </c>
      <c r="B759" s="4" t="str">
        <f>LEFT(A759,4)</f>
        <v>5611</v>
      </c>
      <c r="C759" s="104">
        <v>350</v>
      </c>
      <c r="D759" s="100"/>
      <c r="E759" s="34"/>
      <c r="F759" s="34"/>
      <c r="G759" s="34">
        <f t="shared" si="527"/>
        <v>0</v>
      </c>
      <c r="H759" s="34">
        <f>VLOOKUP($B759,Utility!$A$5:$D$248,3,0)</f>
        <v>318</v>
      </c>
      <c r="I759" s="34">
        <f>VLOOKUP($B759,Utility!$A$5:$D$248,4,0)</f>
        <v>0</v>
      </c>
      <c r="J759" s="34">
        <f t="shared" si="528"/>
        <v>318</v>
      </c>
      <c r="K759" s="34"/>
      <c r="L759" s="34"/>
      <c r="M759" s="34">
        <f t="shared" si="529"/>
        <v>0</v>
      </c>
      <c r="N759" s="34">
        <f t="shared" si="530"/>
        <v>318</v>
      </c>
      <c r="O759" s="34">
        <f t="shared" si="531"/>
        <v>0</v>
      </c>
      <c r="P759" s="34">
        <f t="shared" si="539"/>
        <v>318</v>
      </c>
    </row>
    <row r="760" spans="1:18" x14ac:dyDescent="0.25">
      <c r="A760" s="8" t="s">
        <v>8</v>
      </c>
      <c r="C760" s="103">
        <f t="shared" ref="C760:D760" si="556">C759</f>
        <v>350</v>
      </c>
      <c r="D760" s="99">
        <f t="shared" si="556"/>
        <v>0</v>
      </c>
      <c r="E760" s="35">
        <f>E759</f>
        <v>0</v>
      </c>
      <c r="F760" s="35">
        <f t="shared" ref="F760:P760" si="557">F759</f>
        <v>0</v>
      </c>
      <c r="G760" s="35">
        <f t="shared" si="557"/>
        <v>0</v>
      </c>
      <c r="H760" s="35">
        <f t="shared" si="557"/>
        <v>318</v>
      </c>
      <c r="I760" s="35">
        <f t="shared" si="557"/>
        <v>0</v>
      </c>
      <c r="J760" s="35">
        <f t="shared" si="557"/>
        <v>318</v>
      </c>
      <c r="K760" s="35">
        <f t="shared" si="557"/>
        <v>0</v>
      </c>
      <c r="L760" s="35">
        <f t="shared" si="557"/>
        <v>0</v>
      </c>
      <c r="M760" s="35">
        <f t="shared" si="557"/>
        <v>0</v>
      </c>
      <c r="N760" s="35">
        <f t="shared" si="557"/>
        <v>318</v>
      </c>
      <c r="O760" s="35">
        <f t="shared" si="557"/>
        <v>0</v>
      </c>
      <c r="P760" s="35">
        <f t="shared" si="557"/>
        <v>318</v>
      </c>
    </row>
    <row r="761" spans="1:18" x14ac:dyDescent="0.25">
      <c r="C761" s="104"/>
      <c r="D761" s="100"/>
      <c r="E761" s="34"/>
      <c r="F761" s="34"/>
      <c r="G761" s="34">
        <f t="shared" si="527"/>
        <v>0</v>
      </c>
      <c r="H761" s="34"/>
      <c r="I761" s="34"/>
      <c r="J761" s="34">
        <f t="shared" si="528"/>
        <v>0</v>
      </c>
      <c r="K761" s="34"/>
      <c r="L761" s="34"/>
      <c r="M761" s="34">
        <f t="shared" si="529"/>
        <v>0</v>
      </c>
      <c r="N761" s="34">
        <f t="shared" si="530"/>
        <v>0</v>
      </c>
      <c r="O761" s="34">
        <f t="shared" si="531"/>
        <v>0</v>
      </c>
      <c r="P761" s="34"/>
    </row>
    <row r="762" spans="1:18" x14ac:dyDescent="0.25">
      <c r="A762" s="9" t="s">
        <v>406</v>
      </c>
      <c r="B762" s="12" t="str">
        <f>LEFT(A762,5)</f>
        <v>47.12</v>
      </c>
      <c r="C762" s="103">
        <f t="shared" ref="C762:D762" si="558">C760</f>
        <v>350</v>
      </c>
      <c r="D762" s="99">
        <f t="shared" si="558"/>
        <v>0</v>
      </c>
      <c r="E762" s="35">
        <f>E760</f>
        <v>0</v>
      </c>
      <c r="F762" s="35">
        <f t="shared" ref="F762:P762" si="559">F760</f>
        <v>0</v>
      </c>
      <c r="G762" s="35">
        <f t="shared" si="559"/>
        <v>0</v>
      </c>
      <c r="H762" s="35">
        <f t="shared" si="559"/>
        <v>318</v>
      </c>
      <c r="I762" s="35">
        <f t="shared" si="559"/>
        <v>0</v>
      </c>
      <c r="J762" s="35">
        <f t="shared" si="559"/>
        <v>318</v>
      </c>
      <c r="K762" s="35">
        <f t="shared" si="559"/>
        <v>0</v>
      </c>
      <c r="L762" s="35">
        <f t="shared" si="559"/>
        <v>0</v>
      </c>
      <c r="M762" s="35">
        <f t="shared" si="559"/>
        <v>0</v>
      </c>
      <c r="N762" s="35">
        <f t="shared" si="559"/>
        <v>318</v>
      </c>
      <c r="O762" s="35">
        <f t="shared" si="559"/>
        <v>0</v>
      </c>
      <c r="P762" s="35">
        <f t="shared" si="559"/>
        <v>318</v>
      </c>
    </row>
    <row r="763" spans="1:18" x14ac:dyDescent="0.25">
      <c r="C763" s="104"/>
      <c r="D763" s="100"/>
      <c r="E763" s="34"/>
      <c r="F763" s="34"/>
      <c r="G763" s="34">
        <f t="shared" si="527"/>
        <v>0</v>
      </c>
      <c r="H763" s="34"/>
      <c r="I763" s="34"/>
      <c r="J763" s="34">
        <f t="shared" si="528"/>
        <v>0</v>
      </c>
      <c r="K763" s="34"/>
      <c r="L763" s="34"/>
      <c r="M763" s="34">
        <f t="shared" si="529"/>
        <v>0</v>
      </c>
      <c r="N763" s="34">
        <f t="shared" si="530"/>
        <v>0</v>
      </c>
      <c r="O763" s="34">
        <f t="shared" si="531"/>
        <v>0</v>
      </c>
      <c r="P763" s="34"/>
    </row>
    <row r="764" spans="1:18" x14ac:dyDescent="0.25">
      <c r="A764" s="8" t="s">
        <v>407</v>
      </c>
      <c r="B764" s="4" t="str">
        <f t="shared" ref="B764:B769" si="560">LEFT(A764,4)</f>
        <v>5003</v>
      </c>
      <c r="C764" s="104"/>
      <c r="D764" s="100"/>
      <c r="E764" s="34"/>
      <c r="F764" s="34"/>
      <c r="G764" s="34">
        <f t="shared" si="527"/>
        <v>0</v>
      </c>
      <c r="H764" s="34">
        <f>VLOOKUP($B764,Utility!$A$5:$D$248,3,0)</f>
        <v>0</v>
      </c>
      <c r="I764" s="34">
        <f>VLOOKUP($B764,Utility!$A$5:$D$248,4,0)</f>
        <v>0</v>
      </c>
      <c r="J764" s="34">
        <f t="shared" si="528"/>
        <v>0</v>
      </c>
      <c r="K764" s="34"/>
      <c r="L764" s="34"/>
      <c r="M764" s="34">
        <f t="shared" si="529"/>
        <v>0</v>
      </c>
      <c r="N764" s="34">
        <f t="shared" si="530"/>
        <v>0</v>
      </c>
      <c r="O764" s="34">
        <f t="shared" si="531"/>
        <v>0</v>
      </c>
      <c r="P764" s="34">
        <f t="shared" si="539"/>
        <v>0</v>
      </c>
    </row>
    <row r="765" spans="1:18" x14ac:dyDescent="0.25">
      <c r="A765" s="8" t="s">
        <v>408</v>
      </c>
      <c r="B765" s="4" t="str">
        <f t="shared" si="560"/>
        <v>5072</v>
      </c>
      <c r="C765" s="104"/>
      <c r="D765" s="100"/>
      <c r="E765" s="34"/>
      <c r="F765" s="34"/>
      <c r="G765" s="34">
        <f t="shared" si="527"/>
        <v>0</v>
      </c>
      <c r="H765" s="34">
        <f>VLOOKUP($B765,Utility!$A$5:$D$248,3,0)</f>
        <v>0</v>
      </c>
      <c r="I765" s="34">
        <f>VLOOKUP($B765,Utility!$A$5:$D$248,4,0)</f>
        <v>0</v>
      </c>
      <c r="J765" s="34">
        <f t="shared" si="528"/>
        <v>0</v>
      </c>
      <c r="K765" s="34"/>
      <c r="L765" s="34"/>
      <c r="M765" s="34">
        <f t="shared" si="529"/>
        <v>0</v>
      </c>
      <c r="N765" s="34">
        <f t="shared" si="530"/>
        <v>0</v>
      </c>
      <c r="O765" s="34">
        <f t="shared" si="531"/>
        <v>0</v>
      </c>
      <c r="P765" s="34">
        <f t="shared" si="539"/>
        <v>0</v>
      </c>
    </row>
    <row r="766" spans="1:18" x14ac:dyDescent="0.25">
      <c r="A766" s="8" t="s">
        <v>409</v>
      </c>
      <c r="B766" s="4" t="str">
        <f t="shared" si="560"/>
        <v>5501</v>
      </c>
      <c r="C766" s="104">
        <v>3500</v>
      </c>
      <c r="D766" s="100">
        <v>300</v>
      </c>
      <c r="E766" s="34"/>
      <c r="F766" s="34"/>
      <c r="G766" s="34">
        <f t="shared" si="527"/>
        <v>0</v>
      </c>
      <c r="H766" s="34">
        <f>VLOOKUP($B766,Utility!$A$5:$D$248,3,0)</f>
        <v>3097.12</v>
      </c>
      <c r="I766" s="34">
        <f>VLOOKUP($B766,Utility!$A$5:$D$248,4,0)</f>
        <v>0</v>
      </c>
      <c r="J766" s="34">
        <f t="shared" si="528"/>
        <v>3097.12</v>
      </c>
      <c r="K766" s="34"/>
      <c r="L766" s="34"/>
      <c r="M766" s="34">
        <f t="shared" si="529"/>
        <v>0</v>
      </c>
      <c r="N766" s="34">
        <f t="shared" si="530"/>
        <v>3097.12</v>
      </c>
      <c r="O766" s="34">
        <f t="shared" si="531"/>
        <v>0</v>
      </c>
      <c r="P766" s="34">
        <f t="shared" si="539"/>
        <v>3097.12</v>
      </c>
    </row>
    <row r="767" spans="1:18" x14ac:dyDescent="0.25">
      <c r="A767" s="8" t="s">
        <v>410</v>
      </c>
      <c r="B767" s="4" t="str">
        <f t="shared" si="560"/>
        <v>5551</v>
      </c>
      <c r="C767" s="104">
        <v>3500</v>
      </c>
      <c r="D767" s="100">
        <v>500</v>
      </c>
      <c r="E767" s="34"/>
      <c r="F767" s="34"/>
      <c r="G767" s="34">
        <f t="shared" si="527"/>
        <v>0</v>
      </c>
      <c r="H767" s="34">
        <f>VLOOKUP($B767,Utility!$A$5:$D$248,3,0)</f>
        <v>3034.32</v>
      </c>
      <c r="I767" s="34">
        <f>VLOOKUP($B767,Utility!$A$5:$D$248,4,0)</f>
        <v>0</v>
      </c>
      <c r="J767" s="34">
        <f t="shared" si="528"/>
        <v>3034.32</v>
      </c>
      <c r="K767" s="34"/>
      <c r="L767" s="34"/>
      <c r="M767" s="34">
        <f t="shared" si="529"/>
        <v>0</v>
      </c>
      <c r="N767" s="34">
        <f t="shared" si="530"/>
        <v>3034.32</v>
      </c>
      <c r="O767" s="34">
        <f t="shared" si="531"/>
        <v>0</v>
      </c>
      <c r="P767" s="34">
        <f t="shared" si="539"/>
        <v>3034.32</v>
      </c>
    </row>
    <row r="768" spans="1:18" x14ac:dyDescent="0.25">
      <c r="A768" s="8" t="s">
        <v>411</v>
      </c>
      <c r="B768" s="4" t="str">
        <f t="shared" si="560"/>
        <v>5562</v>
      </c>
      <c r="C768" s="104">
        <v>1500</v>
      </c>
      <c r="D768" s="100"/>
      <c r="E768" s="34"/>
      <c r="F768" s="34"/>
      <c r="G768" s="34">
        <f t="shared" si="527"/>
        <v>0</v>
      </c>
      <c r="H768" s="34">
        <f>VLOOKUP($B768,Utility!$A$5:$D$248,3,0)</f>
        <v>1375.7</v>
      </c>
      <c r="I768" s="34">
        <f>VLOOKUP($B768,Utility!$A$5:$D$248,4,0)</f>
        <v>0</v>
      </c>
      <c r="J768" s="34">
        <f t="shared" si="528"/>
        <v>1375.7</v>
      </c>
      <c r="K768" s="34"/>
      <c r="L768" s="34"/>
      <c r="M768" s="34">
        <f t="shared" si="529"/>
        <v>0</v>
      </c>
      <c r="N768" s="34">
        <f t="shared" si="530"/>
        <v>1375.7</v>
      </c>
      <c r="O768" s="34">
        <f t="shared" si="531"/>
        <v>0</v>
      </c>
      <c r="P768" s="34">
        <f t="shared" si="539"/>
        <v>1375.7</v>
      </c>
    </row>
    <row r="769" spans="1:19" x14ac:dyDescent="0.25">
      <c r="A769" s="8" t="s">
        <v>412</v>
      </c>
      <c r="B769" s="4" t="str">
        <f t="shared" si="560"/>
        <v>5591</v>
      </c>
      <c r="C769" s="104"/>
      <c r="D769" s="100"/>
      <c r="E769" s="34"/>
      <c r="F769" s="34"/>
      <c r="G769" s="34">
        <f t="shared" si="527"/>
        <v>0</v>
      </c>
      <c r="H769" s="34">
        <f>VLOOKUP($B769,Utility!$A$5:$D$248,3,0)</f>
        <v>0</v>
      </c>
      <c r="I769" s="34">
        <f>VLOOKUP($B769,Utility!$A$5:$D$248,4,0)</f>
        <v>0</v>
      </c>
      <c r="J769" s="34">
        <f t="shared" si="528"/>
        <v>0</v>
      </c>
      <c r="K769" s="34"/>
      <c r="L769" s="34"/>
      <c r="M769" s="34">
        <f t="shared" si="529"/>
        <v>0</v>
      </c>
      <c r="N769" s="34">
        <f t="shared" si="530"/>
        <v>0</v>
      </c>
      <c r="O769" s="34">
        <f t="shared" si="531"/>
        <v>0</v>
      </c>
      <c r="P769" s="34">
        <f t="shared" si="539"/>
        <v>0</v>
      </c>
    </row>
    <row r="770" spans="1:19" x14ac:dyDescent="0.25">
      <c r="A770" s="8" t="s">
        <v>8</v>
      </c>
      <c r="C770" s="103">
        <f t="shared" ref="C770:D770" si="561">SUM(C764:C769)</f>
        <v>8500</v>
      </c>
      <c r="D770" s="99">
        <f t="shared" si="561"/>
        <v>800</v>
      </c>
      <c r="E770" s="35">
        <f>SUM(E764:E769)</f>
        <v>0</v>
      </c>
      <c r="F770" s="35">
        <f t="shared" ref="F770:P770" si="562">SUM(F764:F769)</f>
        <v>0</v>
      </c>
      <c r="G770" s="35">
        <f t="shared" si="562"/>
        <v>0</v>
      </c>
      <c r="H770" s="35">
        <f t="shared" si="562"/>
        <v>7507.14</v>
      </c>
      <c r="I770" s="35">
        <f t="shared" si="562"/>
        <v>0</v>
      </c>
      <c r="J770" s="35">
        <f t="shared" si="562"/>
        <v>7507.14</v>
      </c>
      <c r="K770" s="35">
        <f t="shared" si="562"/>
        <v>0</v>
      </c>
      <c r="L770" s="35">
        <f t="shared" si="562"/>
        <v>0</v>
      </c>
      <c r="M770" s="35">
        <f t="shared" si="562"/>
        <v>0</v>
      </c>
      <c r="N770" s="35">
        <f t="shared" si="562"/>
        <v>7507.14</v>
      </c>
      <c r="O770" s="35">
        <f t="shared" si="562"/>
        <v>0</v>
      </c>
      <c r="P770" s="35">
        <f t="shared" si="562"/>
        <v>7507.14</v>
      </c>
    </row>
    <row r="771" spans="1:19" x14ac:dyDescent="0.25">
      <c r="C771" s="104"/>
      <c r="D771" s="100"/>
      <c r="E771" s="34"/>
      <c r="F771" s="34"/>
      <c r="G771" s="34">
        <f t="shared" si="527"/>
        <v>0</v>
      </c>
      <c r="H771" s="34"/>
      <c r="I771" s="34"/>
      <c r="J771" s="34">
        <f t="shared" si="528"/>
        <v>0</v>
      </c>
      <c r="K771" s="34"/>
      <c r="L771" s="34"/>
      <c r="M771" s="34">
        <f t="shared" si="529"/>
        <v>0</v>
      </c>
      <c r="N771" s="34">
        <f t="shared" si="530"/>
        <v>0</v>
      </c>
      <c r="O771" s="34">
        <f t="shared" si="531"/>
        <v>0</v>
      </c>
      <c r="P771" s="34"/>
    </row>
    <row r="772" spans="1:19" x14ac:dyDescent="0.25">
      <c r="A772" s="9" t="s">
        <v>413</v>
      </c>
      <c r="B772" s="12" t="str">
        <f>LEFT(A772,5)</f>
        <v>47.13</v>
      </c>
      <c r="C772" s="103">
        <f t="shared" ref="C772:D772" si="563">C770</f>
        <v>8500</v>
      </c>
      <c r="D772" s="99">
        <f t="shared" si="563"/>
        <v>800</v>
      </c>
      <c r="E772" s="35">
        <f>E770</f>
        <v>0</v>
      </c>
      <c r="F772" s="35">
        <f t="shared" ref="F772:P772" si="564">F770</f>
        <v>0</v>
      </c>
      <c r="G772" s="35">
        <f t="shared" si="564"/>
        <v>0</v>
      </c>
      <c r="H772" s="35">
        <f t="shared" si="564"/>
        <v>7507.14</v>
      </c>
      <c r="I772" s="35">
        <f t="shared" si="564"/>
        <v>0</v>
      </c>
      <c r="J772" s="35">
        <f t="shared" si="564"/>
        <v>7507.14</v>
      </c>
      <c r="K772" s="35">
        <f t="shared" si="564"/>
        <v>0</v>
      </c>
      <c r="L772" s="35">
        <f t="shared" si="564"/>
        <v>0</v>
      </c>
      <c r="M772" s="35">
        <f t="shared" si="564"/>
        <v>0</v>
      </c>
      <c r="N772" s="35">
        <f t="shared" si="564"/>
        <v>7507.14</v>
      </c>
      <c r="O772" s="35">
        <f t="shared" si="564"/>
        <v>0</v>
      </c>
      <c r="P772" s="35">
        <f t="shared" si="564"/>
        <v>7507.14</v>
      </c>
    </row>
    <row r="773" spans="1:19" x14ac:dyDescent="0.25">
      <c r="C773" s="104"/>
      <c r="D773" s="100"/>
      <c r="E773" s="34"/>
      <c r="F773" s="34"/>
      <c r="G773" s="34">
        <f t="shared" si="527"/>
        <v>0</v>
      </c>
      <c r="H773" s="34"/>
      <c r="I773" s="34"/>
      <c r="J773" s="34">
        <f t="shared" si="528"/>
        <v>0</v>
      </c>
      <c r="K773" s="34"/>
      <c r="L773" s="34"/>
      <c r="M773" s="34">
        <f t="shared" si="529"/>
        <v>0</v>
      </c>
      <c r="N773" s="34">
        <f t="shared" si="530"/>
        <v>0</v>
      </c>
      <c r="O773" s="34">
        <f t="shared" si="531"/>
        <v>0</v>
      </c>
      <c r="P773" s="34"/>
    </row>
    <row r="774" spans="1:19" x14ac:dyDescent="0.25">
      <c r="A774" s="8" t="s">
        <v>414</v>
      </c>
      <c r="B774" s="4" t="str">
        <f>LEFT(A774,4)</f>
        <v>5531</v>
      </c>
      <c r="C774" s="104">
        <f>18970/2</f>
        <v>9485</v>
      </c>
      <c r="D774" s="100">
        <v>840</v>
      </c>
      <c r="E774" s="34"/>
      <c r="F774" s="34"/>
      <c r="G774" s="34">
        <f t="shared" si="527"/>
        <v>0</v>
      </c>
      <c r="H774" s="34">
        <f>VLOOKUP($B774,Utility!$A$5:$D$248,3,0)</f>
        <v>9145.1200000000008</v>
      </c>
      <c r="I774" s="34">
        <f>VLOOKUP($B774,Utility!$A$5:$D$248,4,0)</f>
        <v>0</v>
      </c>
      <c r="J774" s="34">
        <f t="shared" si="528"/>
        <v>9145.1200000000008</v>
      </c>
      <c r="K774" s="34"/>
      <c r="L774" s="34"/>
      <c r="M774" s="34">
        <f t="shared" si="529"/>
        <v>0</v>
      </c>
      <c r="N774" s="34">
        <f t="shared" si="530"/>
        <v>9145.1200000000008</v>
      </c>
      <c r="O774" s="34">
        <f t="shared" si="531"/>
        <v>0</v>
      </c>
      <c r="P774" s="34">
        <f t="shared" si="539"/>
        <v>9145.1200000000008</v>
      </c>
    </row>
    <row r="775" spans="1:19" x14ac:dyDescent="0.25">
      <c r="A775" s="8" t="s">
        <v>8</v>
      </c>
      <c r="C775" s="103">
        <f t="shared" ref="C775:D775" si="565">C774</f>
        <v>9485</v>
      </c>
      <c r="D775" s="99">
        <f t="shared" si="565"/>
        <v>840</v>
      </c>
      <c r="E775" s="35">
        <f>E774</f>
        <v>0</v>
      </c>
      <c r="F775" s="35">
        <f t="shared" ref="F775:P775" si="566">F774</f>
        <v>0</v>
      </c>
      <c r="G775" s="35">
        <f t="shared" si="566"/>
        <v>0</v>
      </c>
      <c r="H775" s="35">
        <f t="shared" si="566"/>
        <v>9145.1200000000008</v>
      </c>
      <c r="I775" s="35">
        <f t="shared" si="566"/>
        <v>0</v>
      </c>
      <c r="J775" s="35">
        <f t="shared" si="566"/>
        <v>9145.1200000000008</v>
      </c>
      <c r="K775" s="35">
        <f t="shared" si="566"/>
        <v>0</v>
      </c>
      <c r="L775" s="35">
        <f t="shared" si="566"/>
        <v>0</v>
      </c>
      <c r="M775" s="35">
        <f t="shared" si="566"/>
        <v>0</v>
      </c>
      <c r="N775" s="35">
        <f t="shared" si="566"/>
        <v>9145.1200000000008</v>
      </c>
      <c r="O775" s="35">
        <f t="shared" si="566"/>
        <v>0</v>
      </c>
      <c r="P775" s="35">
        <f t="shared" si="566"/>
        <v>9145.1200000000008</v>
      </c>
    </row>
    <row r="776" spans="1:19" x14ac:dyDescent="0.25">
      <c r="C776" s="104"/>
      <c r="D776" s="100"/>
      <c r="E776" s="34"/>
      <c r="F776" s="34"/>
      <c r="G776" s="34">
        <f t="shared" si="527"/>
        <v>0</v>
      </c>
      <c r="H776" s="34"/>
      <c r="I776" s="34"/>
      <c r="J776" s="34">
        <f t="shared" si="528"/>
        <v>0</v>
      </c>
      <c r="K776" s="34"/>
      <c r="L776" s="34"/>
      <c r="M776" s="34">
        <f t="shared" si="529"/>
        <v>0</v>
      </c>
      <c r="N776" s="34">
        <f t="shared" si="530"/>
        <v>0</v>
      </c>
      <c r="O776" s="34">
        <f t="shared" si="531"/>
        <v>0</v>
      </c>
      <c r="P776" s="34"/>
    </row>
    <row r="777" spans="1:19" x14ac:dyDescent="0.25">
      <c r="A777" s="9" t="s">
        <v>415</v>
      </c>
      <c r="B777" s="12" t="str">
        <f>LEFT(A777,5)</f>
        <v>47.14</v>
      </c>
      <c r="C777" s="103">
        <f t="shared" ref="C777:D777" si="567">C775</f>
        <v>9485</v>
      </c>
      <c r="D777" s="99">
        <f t="shared" si="567"/>
        <v>840</v>
      </c>
      <c r="E777" s="35">
        <f>E775</f>
        <v>0</v>
      </c>
      <c r="F777" s="35">
        <f t="shared" ref="F777:P777" si="568">F775</f>
        <v>0</v>
      </c>
      <c r="G777" s="35">
        <f t="shared" si="568"/>
        <v>0</v>
      </c>
      <c r="H777" s="35">
        <f t="shared" si="568"/>
        <v>9145.1200000000008</v>
      </c>
      <c r="I777" s="35">
        <f t="shared" si="568"/>
        <v>0</v>
      </c>
      <c r="J777" s="35">
        <f t="shared" si="568"/>
        <v>9145.1200000000008</v>
      </c>
      <c r="K777" s="35">
        <f t="shared" si="568"/>
        <v>0</v>
      </c>
      <c r="L777" s="35">
        <f t="shared" si="568"/>
        <v>0</v>
      </c>
      <c r="M777" s="35">
        <f t="shared" si="568"/>
        <v>0</v>
      </c>
      <c r="N777" s="35">
        <f t="shared" si="568"/>
        <v>9145.1200000000008</v>
      </c>
      <c r="O777" s="35">
        <f t="shared" si="568"/>
        <v>0</v>
      </c>
      <c r="P777" s="35">
        <f t="shared" si="568"/>
        <v>9145.1200000000008</v>
      </c>
    </row>
    <row r="778" spans="1:19" x14ac:dyDescent="0.25">
      <c r="C778" s="104"/>
      <c r="D778" s="100"/>
      <c r="E778" s="34"/>
      <c r="F778" s="34"/>
      <c r="G778" s="34">
        <f t="shared" si="527"/>
        <v>0</v>
      </c>
      <c r="H778" s="34"/>
      <c r="I778" s="34"/>
      <c r="J778" s="34">
        <f t="shared" si="528"/>
        <v>0</v>
      </c>
      <c r="K778" s="34"/>
      <c r="L778" s="34"/>
      <c r="M778" s="34">
        <f t="shared" si="529"/>
        <v>0</v>
      </c>
      <c r="N778" s="34">
        <f t="shared" si="530"/>
        <v>0</v>
      </c>
      <c r="O778" s="34">
        <f t="shared" si="531"/>
        <v>0</v>
      </c>
      <c r="P778" s="34"/>
    </row>
    <row r="779" spans="1:19" x14ac:dyDescent="0.25">
      <c r="A779" s="8" t="s">
        <v>416</v>
      </c>
      <c r="B779" s="4" t="str">
        <f>LEFT(A779,4)</f>
        <v>5561</v>
      </c>
      <c r="C779" s="104">
        <f>1366+2433</f>
        <v>3799</v>
      </c>
      <c r="D779" s="100">
        <v>1683</v>
      </c>
      <c r="E779" s="34"/>
      <c r="F779" s="34"/>
      <c r="G779" s="34">
        <f t="shared" si="527"/>
        <v>0</v>
      </c>
      <c r="H779" s="34">
        <f>VLOOKUP($B779,Utility!$A$5:$D$248,3,0)</f>
        <v>1482.94</v>
      </c>
      <c r="I779" s="34">
        <f>VLOOKUP($B779,Utility!$A$5:$D$248,4,0)</f>
        <v>0</v>
      </c>
      <c r="J779" s="34">
        <f t="shared" si="528"/>
        <v>1482.94</v>
      </c>
      <c r="K779" s="34"/>
      <c r="L779" s="34"/>
      <c r="M779" s="34">
        <f t="shared" si="529"/>
        <v>0</v>
      </c>
      <c r="N779" s="34">
        <f t="shared" si="530"/>
        <v>1482.94</v>
      </c>
      <c r="O779" s="34">
        <f t="shared" si="531"/>
        <v>0</v>
      </c>
      <c r="P779" s="34">
        <f t="shared" si="539"/>
        <v>1482.94</v>
      </c>
      <c r="R779" s="4">
        <f>1139+2027</f>
        <v>3166</v>
      </c>
      <c r="S779" s="98">
        <f>R779-P779</f>
        <v>1683.06</v>
      </c>
    </row>
    <row r="780" spans="1:19" x14ac:dyDescent="0.25">
      <c r="A780" s="8" t="s">
        <v>8</v>
      </c>
      <c r="C780" s="103">
        <f t="shared" ref="C780:D780" si="569">C779</f>
        <v>3799</v>
      </c>
      <c r="D780" s="99">
        <f t="shared" si="569"/>
        <v>1683</v>
      </c>
      <c r="E780" s="35">
        <f>E779</f>
        <v>0</v>
      </c>
      <c r="F780" s="35">
        <f t="shared" ref="F780:P780" si="570">F779</f>
        <v>0</v>
      </c>
      <c r="G780" s="35">
        <f t="shared" si="570"/>
        <v>0</v>
      </c>
      <c r="H780" s="35">
        <f t="shared" si="570"/>
        <v>1482.94</v>
      </c>
      <c r="I780" s="35">
        <f t="shared" si="570"/>
        <v>0</v>
      </c>
      <c r="J780" s="35">
        <f t="shared" si="570"/>
        <v>1482.94</v>
      </c>
      <c r="K780" s="35">
        <f t="shared" si="570"/>
        <v>0</v>
      </c>
      <c r="L780" s="35">
        <f t="shared" si="570"/>
        <v>0</v>
      </c>
      <c r="M780" s="35">
        <f t="shared" si="570"/>
        <v>0</v>
      </c>
      <c r="N780" s="35">
        <f t="shared" si="570"/>
        <v>1482.94</v>
      </c>
      <c r="O780" s="35">
        <f t="shared" si="570"/>
        <v>0</v>
      </c>
      <c r="P780" s="35">
        <f t="shared" si="570"/>
        <v>1482.94</v>
      </c>
    </row>
    <row r="781" spans="1:19" x14ac:dyDescent="0.25">
      <c r="C781" s="104"/>
      <c r="D781" s="100"/>
      <c r="E781" s="34"/>
      <c r="F781" s="34"/>
      <c r="G781" s="34">
        <f t="shared" si="527"/>
        <v>0</v>
      </c>
      <c r="H781" s="34"/>
      <c r="I781" s="34"/>
      <c r="J781" s="34">
        <f t="shared" si="528"/>
        <v>0</v>
      </c>
      <c r="K781" s="34"/>
      <c r="L781" s="34"/>
      <c r="M781" s="34">
        <f t="shared" si="529"/>
        <v>0</v>
      </c>
      <c r="N781" s="34">
        <f t="shared" si="530"/>
        <v>0</v>
      </c>
      <c r="O781" s="34">
        <f t="shared" si="531"/>
        <v>0</v>
      </c>
      <c r="P781" s="34"/>
    </row>
    <row r="782" spans="1:19" x14ac:dyDescent="0.25">
      <c r="A782" s="9" t="s">
        <v>417</v>
      </c>
      <c r="B782" s="12" t="str">
        <f>LEFT(A782,5)</f>
        <v>47.15</v>
      </c>
      <c r="C782" s="103">
        <f t="shared" ref="C782:D782" si="571">C780</f>
        <v>3799</v>
      </c>
      <c r="D782" s="99">
        <f t="shared" si="571"/>
        <v>1683</v>
      </c>
      <c r="E782" s="35">
        <f>E780</f>
        <v>0</v>
      </c>
      <c r="F782" s="35">
        <f t="shared" ref="F782:P782" si="572">F780</f>
        <v>0</v>
      </c>
      <c r="G782" s="35">
        <f t="shared" si="572"/>
        <v>0</v>
      </c>
      <c r="H782" s="35">
        <f t="shared" si="572"/>
        <v>1482.94</v>
      </c>
      <c r="I782" s="35">
        <f t="shared" si="572"/>
        <v>0</v>
      </c>
      <c r="J782" s="35">
        <f t="shared" si="572"/>
        <v>1482.94</v>
      </c>
      <c r="K782" s="35">
        <f t="shared" si="572"/>
        <v>0</v>
      </c>
      <c r="L782" s="35">
        <f t="shared" si="572"/>
        <v>0</v>
      </c>
      <c r="M782" s="35">
        <f t="shared" si="572"/>
        <v>0</v>
      </c>
      <c r="N782" s="35">
        <f t="shared" si="572"/>
        <v>1482.94</v>
      </c>
      <c r="O782" s="35">
        <f t="shared" si="572"/>
        <v>0</v>
      </c>
      <c r="P782" s="35">
        <f t="shared" si="572"/>
        <v>1482.94</v>
      </c>
    </row>
    <row r="783" spans="1:19" x14ac:dyDescent="0.25">
      <c r="C783" s="104"/>
      <c r="D783" s="100"/>
      <c r="E783" s="34"/>
      <c r="F783" s="34"/>
      <c r="G783" s="34">
        <f t="shared" si="527"/>
        <v>0</v>
      </c>
      <c r="H783" s="34"/>
      <c r="I783" s="34"/>
      <c r="J783" s="34">
        <f t="shared" si="528"/>
        <v>0</v>
      </c>
      <c r="K783" s="34"/>
      <c r="L783" s="34"/>
      <c r="M783" s="34">
        <f t="shared" si="529"/>
        <v>0</v>
      </c>
      <c r="N783" s="34">
        <f t="shared" si="530"/>
        <v>0</v>
      </c>
      <c r="O783" s="34">
        <f t="shared" si="531"/>
        <v>0</v>
      </c>
      <c r="P783" s="34"/>
    </row>
    <row r="784" spans="1:19" x14ac:dyDescent="0.25">
      <c r="A784" s="8" t="s">
        <v>418</v>
      </c>
      <c r="B784" s="4" t="str">
        <f>LEFT(A784,4)</f>
        <v>5521</v>
      </c>
      <c r="C784" s="104">
        <v>200</v>
      </c>
      <c r="D784" s="100">
        <v>30</v>
      </c>
      <c r="E784" s="34"/>
      <c r="F784" s="34"/>
      <c r="G784" s="34">
        <f t="shared" si="527"/>
        <v>0</v>
      </c>
      <c r="H784" s="34">
        <f>VLOOKUP($B784,Utility!$A$5:$D$248,3,0)</f>
        <v>135.24</v>
      </c>
      <c r="I784" s="34">
        <f>VLOOKUP($B784,Utility!$A$5:$D$248,4,0)</f>
        <v>0</v>
      </c>
      <c r="J784" s="34">
        <f t="shared" si="528"/>
        <v>135.24</v>
      </c>
      <c r="K784" s="34"/>
      <c r="L784" s="34"/>
      <c r="M784" s="34">
        <f t="shared" si="529"/>
        <v>0</v>
      </c>
      <c r="N784" s="34">
        <f t="shared" si="530"/>
        <v>135.24</v>
      </c>
      <c r="O784" s="34">
        <f t="shared" si="531"/>
        <v>0</v>
      </c>
      <c r="P784" s="34">
        <f t="shared" si="539"/>
        <v>135.24</v>
      </c>
    </row>
    <row r="785" spans="1:18" x14ac:dyDescent="0.25">
      <c r="A785" s="8" t="s">
        <v>8</v>
      </c>
      <c r="C785" s="103">
        <f t="shared" ref="C785:D785" si="573">C784</f>
        <v>200</v>
      </c>
      <c r="D785" s="99">
        <f t="shared" si="573"/>
        <v>30</v>
      </c>
      <c r="E785" s="35">
        <f>E784</f>
        <v>0</v>
      </c>
      <c r="F785" s="35">
        <f t="shared" ref="F785:P785" si="574">F784</f>
        <v>0</v>
      </c>
      <c r="G785" s="35">
        <f t="shared" si="574"/>
        <v>0</v>
      </c>
      <c r="H785" s="35">
        <f t="shared" si="574"/>
        <v>135.24</v>
      </c>
      <c r="I785" s="35">
        <f t="shared" si="574"/>
        <v>0</v>
      </c>
      <c r="J785" s="35">
        <f t="shared" si="574"/>
        <v>135.24</v>
      </c>
      <c r="K785" s="35">
        <f t="shared" si="574"/>
        <v>0</v>
      </c>
      <c r="L785" s="35">
        <f t="shared" si="574"/>
        <v>0</v>
      </c>
      <c r="M785" s="35">
        <f t="shared" si="574"/>
        <v>0</v>
      </c>
      <c r="N785" s="35">
        <f t="shared" si="574"/>
        <v>135.24</v>
      </c>
      <c r="O785" s="35">
        <f t="shared" si="574"/>
        <v>0</v>
      </c>
      <c r="P785" s="35">
        <f t="shared" si="574"/>
        <v>135.24</v>
      </c>
    </row>
    <row r="786" spans="1:18" x14ac:dyDescent="0.25">
      <c r="C786" s="104"/>
      <c r="D786" s="100"/>
      <c r="E786" s="34"/>
      <c r="F786" s="34"/>
      <c r="G786" s="34">
        <f t="shared" si="527"/>
        <v>0</v>
      </c>
      <c r="H786" s="34"/>
      <c r="I786" s="34"/>
      <c r="J786" s="34">
        <f t="shared" si="528"/>
        <v>0</v>
      </c>
      <c r="K786" s="34"/>
      <c r="L786" s="34"/>
      <c r="M786" s="34">
        <f t="shared" si="529"/>
        <v>0</v>
      </c>
      <c r="N786" s="34">
        <f t="shared" si="530"/>
        <v>0</v>
      </c>
      <c r="O786" s="34">
        <f t="shared" si="531"/>
        <v>0</v>
      </c>
      <c r="P786" s="34"/>
    </row>
    <row r="787" spans="1:18" x14ac:dyDescent="0.25">
      <c r="A787" s="9" t="s">
        <v>419</v>
      </c>
      <c r="B787" s="12" t="str">
        <f>LEFT(A787,5)</f>
        <v>47.16</v>
      </c>
      <c r="C787" s="103">
        <f t="shared" ref="C787:D787" si="575">C785</f>
        <v>200</v>
      </c>
      <c r="D787" s="99">
        <f t="shared" si="575"/>
        <v>30</v>
      </c>
      <c r="E787" s="35">
        <f>E785</f>
        <v>0</v>
      </c>
      <c r="F787" s="35">
        <f t="shared" ref="F787:P787" si="576">F785</f>
        <v>0</v>
      </c>
      <c r="G787" s="35">
        <f t="shared" si="576"/>
        <v>0</v>
      </c>
      <c r="H787" s="35">
        <f t="shared" si="576"/>
        <v>135.24</v>
      </c>
      <c r="I787" s="35">
        <f t="shared" si="576"/>
        <v>0</v>
      </c>
      <c r="J787" s="35">
        <f t="shared" si="576"/>
        <v>135.24</v>
      </c>
      <c r="K787" s="35">
        <f t="shared" si="576"/>
        <v>0</v>
      </c>
      <c r="L787" s="35">
        <f t="shared" si="576"/>
        <v>0</v>
      </c>
      <c r="M787" s="35">
        <f t="shared" si="576"/>
        <v>0</v>
      </c>
      <c r="N787" s="35">
        <f t="shared" si="576"/>
        <v>135.24</v>
      </c>
      <c r="O787" s="35">
        <f t="shared" si="576"/>
        <v>0</v>
      </c>
      <c r="P787" s="35">
        <f t="shared" si="576"/>
        <v>135.24</v>
      </c>
    </row>
    <row r="788" spans="1:18" x14ac:dyDescent="0.25">
      <c r="C788" s="104"/>
      <c r="D788" s="100"/>
      <c r="E788" s="34"/>
      <c r="F788" s="34"/>
      <c r="G788" s="34">
        <f t="shared" si="527"/>
        <v>0</v>
      </c>
      <c r="H788" s="34"/>
      <c r="I788" s="34"/>
      <c r="J788" s="34">
        <f t="shared" si="528"/>
        <v>0</v>
      </c>
      <c r="K788" s="34"/>
      <c r="L788" s="34"/>
      <c r="M788" s="34">
        <f t="shared" si="529"/>
        <v>0</v>
      </c>
      <c r="N788" s="34">
        <f t="shared" si="530"/>
        <v>0</v>
      </c>
      <c r="O788" s="34">
        <f t="shared" si="531"/>
        <v>0</v>
      </c>
      <c r="P788" s="34"/>
    </row>
    <row r="789" spans="1:18" x14ac:dyDescent="0.25">
      <c r="A789" s="8" t="s">
        <v>420</v>
      </c>
      <c r="B789" s="4" t="str">
        <f>LEFT(A789,4)</f>
        <v>5590</v>
      </c>
      <c r="C789" s="104">
        <v>5000</v>
      </c>
      <c r="D789" s="100">
        <v>600</v>
      </c>
      <c r="E789" s="34"/>
      <c r="F789" s="34"/>
      <c r="G789" s="34">
        <f t="shared" si="527"/>
        <v>0</v>
      </c>
      <c r="H789" s="34">
        <f>VLOOKUP($B789,Utility!$A$5:$D$248,3,0)</f>
        <v>3720.2</v>
      </c>
      <c r="I789" s="34">
        <f>VLOOKUP($B789,Utility!$A$5:$D$248,4,0)</f>
        <v>0</v>
      </c>
      <c r="J789" s="34">
        <f t="shared" si="528"/>
        <v>3720.2</v>
      </c>
      <c r="K789" s="34"/>
      <c r="L789" s="34"/>
      <c r="M789" s="34">
        <f t="shared" si="529"/>
        <v>0</v>
      </c>
      <c r="N789" s="34">
        <f t="shared" si="530"/>
        <v>3720.2</v>
      </c>
      <c r="O789" s="34">
        <f t="shared" si="531"/>
        <v>0</v>
      </c>
      <c r="P789" s="34">
        <f t="shared" si="539"/>
        <v>3720.2</v>
      </c>
      <c r="R789" s="4" t="s">
        <v>2233</v>
      </c>
    </row>
    <row r="790" spans="1:18" x14ac:dyDescent="0.25">
      <c r="A790" s="8" t="s">
        <v>8</v>
      </c>
      <c r="C790" s="103">
        <f t="shared" ref="C790:D790" si="577">C789</f>
        <v>5000</v>
      </c>
      <c r="D790" s="99">
        <f t="shared" si="577"/>
        <v>600</v>
      </c>
      <c r="E790" s="35">
        <f>E789</f>
        <v>0</v>
      </c>
      <c r="F790" s="35">
        <f t="shared" ref="F790:P790" si="578">F789</f>
        <v>0</v>
      </c>
      <c r="G790" s="35">
        <f t="shared" si="578"/>
        <v>0</v>
      </c>
      <c r="H790" s="35">
        <f t="shared" si="578"/>
        <v>3720.2</v>
      </c>
      <c r="I790" s="35">
        <f t="shared" si="578"/>
        <v>0</v>
      </c>
      <c r="J790" s="35">
        <f t="shared" si="578"/>
        <v>3720.2</v>
      </c>
      <c r="K790" s="35">
        <f t="shared" si="578"/>
        <v>0</v>
      </c>
      <c r="L790" s="35">
        <f t="shared" si="578"/>
        <v>0</v>
      </c>
      <c r="M790" s="35">
        <f t="shared" si="578"/>
        <v>0</v>
      </c>
      <c r="N790" s="35">
        <f t="shared" si="578"/>
        <v>3720.2</v>
      </c>
      <c r="O790" s="35">
        <f t="shared" si="578"/>
        <v>0</v>
      </c>
      <c r="P790" s="35">
        <f t="shared" si="578"/>
        <v>3720.2</v>
      </c>
    </row>
    <row r="791" spans="1:18" x14ac:dyDescent="0.25">
      <c r="C791" s="104"/>
      <c r="D791" s="100"/>
      <c r="E791" s="34"/>
      <c r="F791" s="34"/>
      <c r="G791" s="34">
        <f t="shared" si="527"/>
        <v>0</v>
      </c>
      <c r="H791" s="34"/>
      <c r="I791" s="34"/>
      <c r="J791" s="34">
        <f t="shared" si="528"/>
        <v>0</v>
      </c>
      <c r="K791" s="34"/>
      <c r="L791" s="34"/>
      <c r="M791" s="34">
        <f t="shared" si="529"/>
        <v>0</v>
      </c>
      <c r="N791" s="34">
        <f t="shared" si="530"/>
        <v>0</v>
      </c>
      <c r="O791" s="34">
        <f t="shared" si="531"/>
        <v>0</v>
      </c>
      <c r="P791" s="34"/>
    </row>
    <row r="792" spans="1:18" x14ac:dyDescent="0.25">
      <c r="A792" s="9" t="s">
        <v>421</v>
      </c>
      <c r="B792" s="12" t="str">
        <f>LEFT(A792,5)</f>
        <v>47.18</v>
      </c>
      <c r="C792" s="103">
        <f t="shared" ref="C792:D792" si="579">C790</f>
        <v>5000</v>
      </c>
      <c r="D792" s="99">
        <f t="shared" si="579"/>
        <v>600</v>
      </c>
      <c r="E792" s="35">
        <f>E790</f>
        <v>0</v>
      </c>
      <c r="F792" s="35">
        <f t="shared" ref="F792:P792" si="580">F790</f>
        <v>0</v>
      </c>
      <c r="G792" s="35">
        <f t="shared" si="580"/>
        <v>0</v>
      </c>
      <c r="H792" s="35">
        <f t="shared" si="580"/>
        <v>3720.2</v>
      </c>
      <c r="I792" s="35">
        <f t="shared" si="580"/>
        <v>0</v>
      </c>
      <c r="J792" s="35">
        <f t="shared" si="580"/>
        <v>3720.2</v>
      </c>
      <c r="K792" s="35">
        <f t="shared" si="580"/>
        <v>0</v>
      </c>
      <c r="L792" s="35">
        <f t="shared" si="580"/>
        <v>0</v>
      </c>
      <c r="M792" s="35">
        <f t="shared" si="580"/>
        <v>0</v>
      </c>
      <c r="N792" s="35">
        <f t="shared" si="580"/>
        <v>3720.2</v>
      </c>
      <c r="O792" s="35">
        <f t="shared" si="580"/>
        <v>0</v>
      </c>
      <c r="P792" s="35">
        <f t="shared" si="580"/>
        <v>3720.2</v>
      </c>
    </row>
    <row r="793" spans="1:18" x14ac:dyDescent="0.25">
      <c r="C793" s="104"/>
      <c r="D793" s="100"/>
      <c r="E793" s="34"/>
      <c r="F793" s="34"/>
      <c r="G793" s="34">
        <f t="shared" si="527"/>
        <v>0</v>
      </c>
      <c r="H793" s="34"/>
      <c r="I793" s="34"/>
      <c r="J793" s="34">
        <f t="shared" si="528"/>
        <v>0</v>
      </c>
      <c r="K793" s="34"/>
      <c r="L793" s="34"/>
      <c r="M793" s="34">
        <f t="shared" si="529"/>
        <v>0</v>
      </c>
      <c r="N793" s="34">
        <f t="shared" si="530"/>
        <v>0</v>
      </c>
      <c r="O793" s="34">
        <f t="shared" si="531"/>
        <v>0</v>
      </c>
      <c r="P793" s="34"/>
    </row>
    <row r="794" spans="1:18" x14ac:dyDescent="0.25">
      <c r="A794" s="8" t="s">
        <v>422</v>
      </c>
      <c r="B794" s="4" t="str">
        <f>LEFT(A794,4)</f>
        <v>5535</v>
      </c>
      <c r="C794" s="214">
        <v>500</v>
      </c>
      <c r="D794" s="215">
        <v>500</v>
      </c>
      <c r="E794" s="191"/>
      <c r="F794" s="191"/>
      <c r="G794" s="191">
        <f t="shared" si="527"/>
        <v>0</v>
      </c>
      <c r="H794" s="191">
        <f>VLOOKUP($B794,Utility!$A$5:$D$248,3,0)</f>
        <v>0</v>
      </c>
      <c r="I794" s="191">
        <f>VLOOKUP($B794,Utility!$A$5:$D$248,4,0)</f>
        <v>0</v>
      </c>
      <c r="J794" s="191">
        <f t="shared" ref="J794:J857" si="581">IF(H794&gt;0,H794,-I794)</f>
        <v>0</v>
      </c>
      <c r="K794" s="191"/>
      <c r="L794" s="191"/>
      <c r="M794" s="191">
        <f t="shared" ref="M794:M857" si="582">IF(K794&gt;0,K794,-L794)</f>
        <v>0</v>
      </c>
      <c r="N794" s="191">
        <f t="shared" si="530"/>
        <v>0</v>
      </c>
      <c r="O794" s="191">
        <f t="shared" si="531"/>
        <v>0</v>
      </c>
      <c r="P794" s="191">
        <f t="shared" si="539"/>
        <v>0</v>
      </c>
      <c r="R794" s="4" t="s">
        <v>2288</v>
      </c>
    </row>
    <row r="795" spans="1:18" x14ac:dyDescent="0.25">
      <c r="A795" s="8" t="s">
        <v>8</v>
      </c>
      <c r="C795" s="103">
        <f t="shared" ref="C795:D795" si="583">C794</f>
        <v>500</v>
      </c>
      <c r="D795" s="99">
        <f t="shared" si="583"/>
        <v>500</v>
      </c>
      <c r="E795" s="35">
        <f>E794</f>
        <v>0</v>
      </c>
      <c r="F795" s="35">
        <f t="shared" ref="F795:P795" si="584">F794</f>
        <v>0</v>
      </c>
      <c r="G795" s="35">
        <f t="shared" si="584"/>
        <v>0</v>
      </c>
      <c r="H795" s="35">
        <f t="shared" si="584"/>
        <v>0</v>
      </c>
      <c r="I795" s="35">
        <f t="shared" si="584"/>
        <v>0</v>
      </c>
      <c r="J795" s="35">
        <f t="shared" si="584"/>
        <v>0</v>
      </c>
      <c r="K795" s="35">
        <f t="shared" si="584"/>
        <v>0</v>
      </c>
      <c r="L795" s="35">
        <f t="shared" si="584"/>
        <v>0</v>
      </c>
      <c r="M795" s="35">
        <f t="shared" si="584"/>
        <v>0</v>
      </c>
      <c r="N795" s="35">
        <f t="shared" si="584"/>
        <v>0</v>
      </c>
      <c r="O795" s="35">
        <f t="shared" si="584"/>
        <v>0</v>
      </c>
      <c r="P795" s="35">
        <f t="shared" si="584"/>
        <v>0</v>
      </c>
    </row>
    <row r="796" spans="1:18" x14ac:dyDescent="0.25">
      <c r="C796" s="104"/>
      <c r="D796" s="100"/>
      <c r="E796" s="34"/>
      <c r="F796" s="34"/>
      <c r="G796" s="34">
        <f t="shared" ref="G796:G859" si="585">IF(E796&gt;0,E796,-F796)</f>
        <v>0</v>
      </c>
      <c r="H796" s="34"/>
      <c r="I796" s="34"/>
      <c r="J796" s="34">
        <f t="shared" si="581"/>
        <v>0</v>
      </c>
      <c r="K796" s="34"/>
      <c r="L796" s="34"/>
      <c r="M796" s="34">
        <f t="shared" si="582"/>
        <v>0</v>
      </c>
      <c r="N796" s="34">
        <f t="shared" ref="N796:N859" si="586">E796+H796+K796</f>
        <v>0</v>
      </c>
      <c r="O796" s="34">
        <f t="shared" ref="O796:O859" si="587">F796+I796+L796</f>
        <v>0</v>
      </c>
      <c r="P796" s="34"/>
    </row>
    <row r="797" spans="1:18" x14ac:dyDescent="0.25">
      <c r="A797" s="9" t="s">
        <v>423</v>
      </c>
      <c r="B797" s="12" t="str">
        <f>LEFT(A797,5)</f>
        <v>47.20</v>
      </c>
      <c r="C797" s="103">
        <f t="shared" ref="C797:D797" si="588">C795</f>
        <v>500</v>
      </c>
      <c r="D797" s="99">
        <f t="shared" si="588"/>
        <v>500</v>
      </c>
      <c r="E797" s="35">
        <f>E795</f>
        <v>0</v>
      </c>
      <c r="F797" s="35">
        <f t="shared" ref="F797:P797" si="589">F795</f>
        <v>0</v>
      </c>
      <c r="G797" s="35">
        <f t="shared" si="589"/>
        <v>0</v>
      </c>
      <c r="H797" s="35">
        <f t="shared" si="589"/>
        <v>0</v>
      </c>
      <c r="I797" s="35">
        <f t="shared" si="589"/>
        <v>0</v>
      </c>
      <c r="J797" s="35">
        <f t="shared" si="589"/>
        <v>0</v>
      </c>
      <c r="K797" s="35">
        <f t="shared" si="589"/>
        <v>0</v>
      </c>
      <c r="L797" s="35">
        <f t="shared" si="589"/>
        <v>0</v>
      </c>
      <c r="M797" s="35">
        <f t="shared" si="589"/>
        <v>0</v>
      </c>
      <c r="N797" s="35">
        <f t="shared" si="589"/>
        <v>0</v>
      </c>
      <c r="O797" s="35">
        <f t="shared" si="589"/>
        <v>0</v>
      </c>
      <c r="P797" s="35">
        <f t="shared" si="589"/>
        <v>0</v>
      </c>
    </row>
    <row r="798" spans="1:18" x14ac:dyDescent="0.25">
      <c r="C798" s="104"/>
      <c r="D798" s="100"/>
      <c r="E798" s="34"/>
      <c r="F798" s="34"/>
      <c r="G798" s="34">
        <f t="shared" si="585"/>
        <v>0</v>
      </c>
      <c r="H798" s="34"/>
      <c r="I798" s="34"/>
      <c r="J798" s="34">
        <f t="shared" si="581"/>
        <v>0</v>
      </c>
      <c r="K798" s="34"/>
      <c r="L798" s="34"/>
      <c r="M798" s="34">
        <f t="shared" si="582"/>
        <v>0</v>
      </c>
      <c r="N798" s="34">
        <f t="shared" si="586"/>
        <v>0</v>
      </c>
      <c r="O798" s="34">
        <f t="shared" si="587"/>
        <v>0</v>
      </c>
      <c r="P798" s="34"/>
    </row>
    <row r="799" spans="1:18" x14ac:dyDescent="0.25">
      <c r="A799" s="8" t="s">
        <v>424</v>
      </c>
      <c r="B799" s="4" t="str">
        <f>LEFT(A799,4)</f>
        <v>5511</v>
      </c>
      <c r="C799" s="104">
        <v>20000</v>
      </c>
      <c r="D799" s="100">
        <v>2000</v>
      </c>
      <c r="E799" s="34"/>
      <c r="F799" s="34"/>
      <c r="G799" s="34">
        <f t="shared" si="585"/>
        <v>0</v>
      </c>
      <c r="H799" s="34">
        <f>VLOOKUP($B799,Utility!$A$5:$D$248,3,0)</f>
        <v>17935.990000000002</v>
      </c>
      <c r="I799" s="34">
        <f>VLOOKUP($B799,Utility!$A$5:$D$248,4,0)</f>
        <v>0</v>
      </c>
      <c r="J799" s="34">
        <f t="shared" si="581"/>
        <v>17935.990000000002</v>
      </c>
      <c r="K799" s="34"/>
      <c r="L799" s="34"/>
      <c r="M799" s="34">
        <f t="shared" si="582"/>
        <v>0</v>
      </c>
      <c r="N799" s="34">
        <f t="shared" si="586"/>
        <v>17935.990000000002</v>
      </c>
      <c r="O799" s="34">
        <f t="shared" si="587"/>
        <v>0</v>
      </c>
      <c r="P799" s="34">
        <f t="shared" ref="P799:P854" si="590">IF(N799&gt;0,N799,-O799)</f>
        <v>17935.990000000002</v>
      </c>
    </row>
    <row r="800" spans="1:18" x14ac:dyDescent="0.25">
      <c r="A800" s="8" t="s">
        <v>8</v>
      </c>
      <c r="C800" s="103">
        <f t="shared" ref="C800:D800" si="591">C799</f>
        <v>20000</v>
      </c>
      <c r="D800" s="99">
        <f t="shared" si="591"/>
        <v>2000</v>
      </c>
      <c r="E800" s="35">
        <f>E799</f>
        <v>0</v>
      </c>
      <c r="F800" s="35">
        <f t="shared" ref="F800:P800" si="592">F799</f>
        <v>0</v>
      </c>
      <c r="G800" s="35">
        <f t="shared" si="592"/>
        <v>0</v>
      </c>
      <c r="H800" s="35">
        <f t="shared" si="592"/>
        <v>17935.990000000002</v>
      </c>
      <c r="I800" s="35">
        <f t="shared" si="592"/>
        <v>0</v>
      </c>
      <c r="J800" s="35">
        <f t="shared" si="592"/>
        <v>17935.990000000002</v>
      </c>
      <c r="K800" s="35">
        <f t="shared" si="592"/>
        <v>0</v>
      </c>
      <c r="L800" s="35">
        <f t="shared" si="592"/>
        <v>0</v>
      </c>
      <c r="M800" s="35">
        <f t="shared" si="592"/>
        <v>0</v>
      </c>
      <c r="N800" s="35">
        <f t="shared" si="592"/>
        <v>17935.990000000002</v>
      </c>
      <c r="O800" s="35">
        <f t="shared" si="592"/>
        <v>0</v>
      </c>
      <c r="P800" s="35">
        <f t="shared" si="592"/>
        <v>17935.990000000002</v>
      </c>
    </row>
    <row r="801" spans="1:20" x14ac:dyDescent="0.25">
      <c r="C801" s="104"/>
      <c r="D801" s="100"/>
      <c r="E801" s="34"/>
      <c r="F801" s="34"/>
      <c r="G801" s="34">
        <f t="shared" si="585"/>
        <v>0</v>
      </c>
      <c r="H801" s="34"/>
      <c r="I801" s="34"/>
      <c r="J801" s="34">
        <f t="shared" si="581"/>
        <v>0</v>
      </c>
      <c r="K801" s="34"/>
      <c r="L801" s="34"/>
      <c r="M801" s="34">
        <f t="shared" si="582"/>
        <v>0</v>
      </c>
      <c r="N801" s="34">
        <f t="shared" si="586"/>
        <v>0</v>
      </c>
      <c r="O801" s="34">
        <f t="shared" si="587"/>
        <v>0</v>
      </c>
      <c r="P801" s="34"/>
    </row>
    <row r="802" spans="1:20" x14ac:dyDescent="0.25">
      <c r="A802" s="9" t="s">
        <v>425</v>
      </c>
      <c r="B802" s="12" t="str">
        <f>LEFT(A802,5)</f>
        <v>47.21</v>
      </c>
      <c r="C802" s="103">
        <f t="shared" ref="C802:D802" si="593">C800</f>
        <v>20000</v>
      </c>
      <c r="D802" s="99">
        <f t="shared" si="593"/>
        <v>2000</v>
      </c>
      <c r="E802" s="35">
        <f>E800</f>
        <v>0</v>
      </c>
      <c r="F802" s="35">
        <f t="shared" ref="F802:P802" si="594">F800</f>
        <v>0</v>
      </c>
      <c r="G802" s="35">
        <f t="shared" si="594"/>
        <v>0</v>
      </c>
      <c r="H802" s="35">
        <f t="shared" si="594"/>
        <v>17935.990000000002</v>
      </c>
      <c r="I802" s="35">
        <f t="shared" si="594"/>
        <v>0</v>
      </c>
      <c r="J802" s="35">
        <f t="shared" si="594"/>
        <v>17935.990000000002</v>
      </c>
      <c r="K802" s="35">
        <f t="shared" si="594"/>
        <v>0</v>
      </c>
      <c r="L802" s="35">
        <f t="shared" si="594"/>
        <v>0</v>
      </c>
      <c r="M802" s="35">
        <f t="shared" si="594"/>
        <v>0</v>
      </c>
      <c r="N802" s="35">
        <f t="shared" si="594"/>
        <v>17935.990000000002</v>
      </c>
      <c r="O802" s="35">
        <f t="shared" si="594"/>
        <v>0</v>
      </c>
      <c r="P802" s="35">
        <f t="shared" si="594"/>
        <v>17935.990000000002</v>
      </c>
    </row>
    <row r="803" spans="1:20" x14ac:dyDescent="0.25">
      <c r="C803" s="104"/>
      <c r="D803" s="100"/>
      <c r="E803" s="34"/>
      <c r="F803" s="34"/>
      <c r="G803" s="34">
        <f t="shared" si="585"/>
        <v>0</v>
      </c>
      <c r="H803" s="34"/>
      <c r="I803" s="34"/>
      <c r="J803" s="34">
        <f t="shared" si="581"/>
        <v>0</v>
      </c>
      <c r="K803" s="34"/>
      <c r="L803" s="34"/>
      <c r="M803" s="34">
        <f t="shared" si="582"/>
        <v>0</v>
      </c>
      <c r="N803" s="34">
        <f t="shared" si="586"/>
        <v>0</v>
      </c>
      <c r="O803" s="34">
        <f t="shared" si="587"/>
        <v>0</v>
      </c>
      <c r="P803" s="34"/>
    </row>
    <row r="804" spans="1:20" x14ac:dyDescent="0.25">
      <c r="A804" s="8" t="s">
        <v>426</v>
      </c>
      <c r="B804" s="4" t="str">
        <f>LEFT(A804,4)</f>
        <v>5571</v>
      </c>
      <c r="C804" s="104">
        <v>2000</v>
      </c>
      <c r="D804" s="100">
        <v>2000</v>
      </c>
      <c r="E804" s="34"/>
      <c r="F804" s="34"/>
      <c r="G804" s="34">
        <f t="shared" si="585"/>
        <v>0</v>
      </c>
      <c r="H804" s="34">
        <f>VLOOKUP($B804,Utility!$A$5:$D$248,3,0)</f>
        <v>0</v>
      </c>
      <c r="I804" s="34">
        <f>VLOOKUP($B804,Utility!$A$5:$D$248,4,0)</f>
        <v>0</v>
      </c>
      <c r="J804" s="34">
        <f t="shared" si="581"/>
        <v>0</v>
      </c>
      <c r="K804" s="34"/>
      <c r="L804" s="34"/>
      <c r="M804" s="34">
        <f t="shared" si="582"/>
        <v>0</v>
      </c>
      <c r="N804" s="34">
        <f t="shared" si="586"/>
        <v>0</v>
      </c>
      <c r="O804" s="34">
        <f t="shared" si="587"/>
        <v>0</v>
      </c>
      <c r="P804" s="34">
        <f t="shared" si="590"/>
        <v>0</v>
      </c>
      <c r="R804" s="4" t="s">
        <v>2234</v>
      </c>
    </row>
    <row r="805" spans="1:20" x14ac:dyDescent="0.25">
      <c r="A805" s="8" t="s">
        <v>8</v>
      </c>
      <c r="C805" s="103">
        <f t="shared" ref="C805:D805" si="595">C804</f>
        <v>2000</v>
      </c>
      <c r="D805" s="99">
        <f t="shared" si="595"/>
        <v>2000</v>
      </c>
      <c r="E805" s="35">
        <f>E804</f>
        <v>0</v>
      </c>
      <c r="F805" s="35">
        <f t="shared" ref="F805:P805" si="596">F804</f>
        <v>0</v>
      </c>
      <c r="G805" s="35">
        <f t="shared" si="596"/>
        <v>0</v>
      </c>
      <c r="H805" s="35">
        <f t="shared" si="596"/>
        <v>0</v>
      </c>
      <c r="I805" s="35">
        <f t="shared" si="596"/>
        <v>0</v>
      </c>
      <c r="J805" s="35">
        <f t="shared" si="596"/>
        <v>0</v>
      </c>
      <c r="K805" s="35">
        <f t="shared" si="596"/>
        <v>0</v>
      </c>
      <c r="L805" s="35">
        <f t="shared" si="596"/>
        <v>0</v>
      </c>
      <c r="M805" s="35">
        <f t="shared" si="596"/>
        <v>0</v>
      </c>
      <c r="N805" s="35">
        <f t="shared" si="596"/>
        <v>0</v>
      </c>
      <c r="O805" s="35">
        <f t="shared" si="596"/>
        <v>0</v>
      </c>
      <c r="P805" s="35">
        <f t="shared" si="596"/>
        <v>0</v>
      </c>
    </row>
    <row r="806" spans="1:20" x14ac:dyDescent="0.25">
      <c r="C806" s="104"/>
      <c r="D806" s="100"/>
      <c r="E806" s="34"/>
      <c r="F806" s="34"/>
      <c r="G806" s="34">
        <f t="shared" si="585"/>
        <v>0</v>
      </c>
      <c r="H806" s="34"/>
      <c r="I806" s="34"/>
      <c r="J806" s="34">
        <f t="shared" si="581"/>
        <v>0</v>
      </c>
      <c r="K806" s="34"/>
      <c r="L806" s="34"/>
      <c r="M806" s="34">
        <f t="shared" si="582"/>
        <v>0</v>
      </c>
      <c r="N806" s="34">
        <f t="shared" si="586"/>
        <v>0</v>
      </c>
      <c r="O806" s="34">
        <f t="shared" si="587"/>
        <v>0</v>
      </c>
      <c r="P806" s="34"/>
    </row>
    <row r="807" spans="1:20" x14ac:dyDescent="0.25">
      <c r="A807" s="9" t="s">
        <v>427</v>
      </c>
      <c r="B807" s="12" t="str">
        <f>LEFT(A807,5)</f>
        <v>47.24</v>
      </c>
      <c r="C807" s="103">
        <f t="shared" ref="C807:D807" si="597">C805</f>
        <v>2000</v>
      </c>
      <c r="D807" s="99">
        <f t="shared" si="597"/>
        <v>2000</v>
      </c>
      <c r="E807" s="35">
        <f>E805</f>
        <v>0</v>
      </c>
      <c r="F807" s="35">
        <f t="shared" ref="F807:P807" si="598">F805</f>
        <v>0</v>
      </c>
      <c r="G807" s="35">
        <f t="shared" si="598"/>
        <v>0</v>
      </c>
      <c r="H807" s="35">
        <f t="shared" si="598"/>
        <v>0</v>
      </c>
      <c r="I807" s="35">
        <f t="shared" si="598"/>
        <v>0</v>
      </c>
      <c r="J807" s="35">
        <f t="shared" si="598"/>
        <v>0</v>
      </c>
      <c r="K807" s="35">
        <f t="shared" si="598"/>
        <v>0</v>
      </c>
      <c r="L807" s="35">
        <f t="shared" si="598"/>
        <v>0</v>
      </c>
      <c r="M807" s="35">
        <f t="shared" si="598"/>
        <v>0</v>
      </c>
      <c r="N807" s="35">
        <f t="shared" si="598"/>
        <v>0</v>
      </c>
      <c r="O807" s="35">
        <f t="shared" si="598"/>
        <v>0</v>
      </c>
      <c r="P807" s="35">
        <f t="shared" si="598"/>
        <v>0</v>
      </c>
    </row>
    <row r="808" spans="1:20" x14ac:dyDescent="0.25">
      <c r="C808" s="104"/>
      <c r="D808" s="100"/>
      <c r="E808" s="34"/>
      <c r="F808" s="34"/>
      <c r="G808" s="34">
        <f t="shared" si="585"/>
        <v>0</v>
      </c>
      <c r="H808" s="34"/>
      <c r="I808" s="34"/>
      <c r="J808" s="34">
        <f t="shared" si="581"/>
        <v>0</v>
      </c>
      <c r="K808" s="34"/>
      <c r="L808" s="34"/>
      <c r="M808" s="34">
        <f t="shared" si="582"/>
        <v>0</v>
      </c>
      <c r="N808" s="34">
        <f t="shared" si="586"/>
        <v>0</v>
      </c>
      <c r="O808" s="34">
        <f t="shared" si="587"/>
        <v>0</v>
      </c>
      <c r="P808" s="34"/>
    </row>
    <row r="809" spans="1:20" x14ac:dyDescent="0.25">
      <c r="A809" s="8" t="s">
        <v>428</v>
      </c>
      <c r="B809" s="4" t="str">
        <f>LEFT(A809,4)</f>
        <v>5541</v>
      </c>
      <c r="C809" s="104">
        <v>56000</v>
      </c>
      <c r="D809" s="100">
        <v>20000</v>
      </c>
      <c r="E809" s="34"/>
      <c r="F809" s="34"/>
      <c r="G809" s="34">
        <f t="shared" si="585"/>
        <v>0</v>
      </c>
      <c r="H809" s="34">
        <f>VLOOKUP($B809,Utility!$A$5:$D$248,3,0)</f>
        <v>35129.25</v>
      </c>
      <c r="I809" s="34">
        <f>VLOOKUP($B809,Utility!$A$5:$D$248,4,0)</f>
        <v>0</v>
      </c>
      <c r="J809" s="34">
        <f t="shared" si="581"/>
        <v>35129.25</v>
      </c>
      <c r="K809" s="34"/>
      <c r="L809" s="34"/>
      <c r="M809" s="34">
        <f t="shared" si="582"/>
        <v>0</v>
      </c>
      <c r="N809" s="34">
        <f t="shared" si="586"/>
        <v>35129.25</v>
      </c>
      <c r="O809" s="34">
        <f t="shared" si="587"/>
        <v>0</v>
      </c>
      <c r="P809" s="34">
        <f t="shared" si="590"/>
        <v>35129.25</v>
      </c>
    </row>
    <row r="810" spans="1:20" x14ac:dyDescent="0.25">
      <c r="A810" s="8" t="s">
        <v>8</v>
      </c>
      <c r="C810" s="103">
        <f t="shared" ref="C810:D810" si="599">C809</f>
        <v>56000</v>
      </c>
      <c r="D810" s="99">
        <f t="shared" si="599"/>
        <v>20000</v>
      </c>
      <c r="E810" s="35">
        <f>E809</f>
        <v>0</v>
      </c>
      <c r="F810" s="35">
        <f t="shared" ref="F810:P810" si="600">F809</f>
        <v>0</v>
      </c>
      <c r="G810" s="35">
        <f t="shared" si="600"/>
        <v>0</v>
      </c>
      <c r="H810" s="35">
        <f t="shared" si="600"/>
        <v>35129.25</v>
      </c>
      <c r="I810" s="35">
        <f t="shared" si="600"/>
        <v>0</v>
      </c>
      <c r="J810" s="35">
        <f t="shared" si="600"/>
        <v>35129.25</v>
      </c>
      <c r="K810" s="35">
        <f t="shared" si="600"/>
        <v>0</v>
      </c>
      <c r="L810" s="35">
        <f t="shared" si="600"/>
        <v>0</v>
      </c>
      <c r="M810" s="35">
        <f t="shared" si="600"/>
        <v>0</v>
      </c>
      <c r="N810" s="35">
        <f t="shared" si="600"/>
        <v>35129.25</v>
      </c>
      <c r="O810" s="35">
        <f t="shared" si="600"/>
        <v>0</v>
      </c>
      <c r="P810" s="35">
        <f t="shared" si="600"/>
        <v>35129.25</v>
      </c>
    </row>
    <row r="811" spans="1:20" x14ac:dyDescent="0.25">
      <c r="C811" s="104"/>
      <c r="D811" s="100"/>
      <c r="E811" s="34"/>
      <c r="F811" s="34"/>
      <c r="G811" s="34">
        <f t="shared" si="585"/>
        <v>0</v>
      </c>
      <c r="H811" s="34"/>
      <c r="I811" s="34"/>
      <c r="J811" s="34">
        <f t="shared" si="581"/>
        <v>0</v>
      </c>
      <c r="K811" s="34"/>
      <c r="L811" s="34"/>
      <c r="M811" s="34">
        <f t="shared" si="582"/>
        <v>0</v>
      </c>
      <c r="N811" s="34">
        <f t="shared" si="586"/>
        <v>0</v>
      </c>
      <c r="O811" s="34">
        <f t="shared" si="587"/>
        <v>0</v>
      </c>
      <c r="P811" s="34"/>
    </row>
    <row r="812" spans="1:20" x14ac:dyDescent="0.25">
      <c r="A812" s="9" t="s">
        <v>429</v>
      </c>
      <c r="B812" s="12" t="str">
        <f>LEFT(A812,5)</f>
        <v>47.30</v>
      </c>
      <c r="C812" s="103">
        <f t="shared" ref="C812:D812" si="601">C810</f>
        <v>56000</v>
      </c>
      <c r="D812" s="99">
        <f t="shared" si="601"/>
        <v>20000</v>
      </c>
      <c r="E812" s="35">
        <f>E810</f>
        <v>0</v>
      </c>
      <c r="F812" s="35">
        <f t="shared" ref="F812:P812" si="602">F810</f>
        <v>0</v>
      </c>
      <c r="G812" s="35">
        <f t="shared" si="602"/>
        <v>0</v>
      </c>
      <c r="H812" s="35">
        <f t="shared" si="602"/>
        <v>35129.25</v>
      </c>
      <c r="I812" s="35">
        <f t="shared" si="602"/>
        <v>0</v>
      </c>
      <c r="J812" s="35">
        <f t="shared" si="602"/>
        <v>35129.25</v>
      </c>
      <c r="K812" s="35">
        <f t="shared" si="602"/>
        <v>0</v>
      </c>
      <c r="L812" s="35">
        <f t="shared" si="602"/>
        <v>0</v>
      </c>
      <c r="M812" s="35">
        <f t="shared" si="602"/>
        <v>0</v>
      </c>
      <c r="N812" s="35">
        <f t="shared" si="602"/>
        <v>35129.25</v>
      </c>
      <c r="O812" s="35">
        <f t="shared" si="602"/>
        <v>0</v>
      </c>
      <c r="P812" s="35">
        <f t="shared" si="602"/>
        <v>35129.25</v>
      </c>
    </row>
    <row r="813" spans="1:20" x14ac:dyDescent="0.25">
      <c r="C813" s="104"/>
      <c r="D813" s="100"/>
      <c r="E813" s="34"/>
      <c r="F813" s="34"/>
      <c r="G813" s="34">
        <f t="shared" si="585"/>
        <v>0</v>
      </c>
      <c r="H813" s="34"/>
      <c r="I813" s="34"/>
      <c r="J813" s="34">
        <f t="shared" si="581"/>
        <v>0</v>
      </c>
      <c r="K813" s="34"/>
      <c r="L813" s="34"/>
      <c r="M813" s="34">
        <f t="shared" si="582"/>
        <v>0</v>
      </c>
      <c r="N813" s="34">
        <f t="shared" si="586"/>
        <v>0</v>
      </c>
      <c r="O813" s="34">
        <f t="shared" si="587"/>
        <v>0</v>
      </c>
      <c r="P813" s="34"/>
    </row>
    <row r="814" spans="1:20" x14ac:dyDescent="0.25">
      <c r="A814" s="8" t="s">
        <v>430</v>
      </c>
      <c r="B814" s="4" t="str">
        <f>LEFT(A814,4)</f>
        <v>5581</v>
      </c>
      <c r="C814" s="108">
        <v>69677</v>
      </c>
      <c r="D814" s="109">
        <v>15890</v>
      </c>
      <c r="E814" s="111"/>
      <c r="F814" s="111"/>
      <c r="G814" s="111">
        <f t="shared" si="585"/>
        <v>0</v>
      </c>
      <c r="H814" s="111">
        <f>VLOOKUP($B814,Utility!$A$5:$D$248,3,0)</f>
        <v>49198.65</v>
      </c>
      <c r="I814" s="111">
        <f>VLOOKUP($B814,Utility!$A$5:$D$248,4,0)</f>
        <v>0</v>
      </c>
      <c r="J814" s="111">
        <f t="shared" si="581"/>
        <v>49198.65</v>
      </c>
      <c r="K814" s="111"/>
      <c r="L814" s="111"/>
      <c r="M814" s="111">
        <f t="shared" si="582"/>
        <v>0</v>
      </c>
      <c r="N814" s="111">
        <f t="shared" si="586"/>
        <v>49198.65</v>
      </c>
      <c r="O814" s="111">
        <f t="shared" si="587"/>
        <v>0</v>
      </c>
      <c r="P814" s="111">
        <f t="shared" si="590"/>
        <v>49198.65</v>
      </c>
      <c r="R814" s="4">
        <v>65089</v>
      </c>
      <c r="S814" s="98">
        <f>R814-P814</f>
        <v>15890.349999999999</v>
      </c>
      <c r="T814" s="4" t="s">
        <v>2119</v>
      </c>
    </row>
    <row r="815" spans="1:20" x14ac:dyDescent="0.25">
      <c r="A815" s="8" t="s">
        <v>8</v>
      </c>
      <c r="C815" s="103">
        <f t="shared" ref="C815:D815" si="603">C814</f>
        <v>69677</v>
      </c>
      <c r="D815" s="99">
        <f t="shared" si="603"/>
        <v>15890</v>
      </c>
      <c r="E815" s="35">
        <f>E814</f>
        <v>0</v>
      </c>
      <c r="F815" s="35">
        <f t="shared" ref="F815:P815" si="604">F814</f>
        <v>0</v>
      </c>
      <c r="G815" s="35">
        <f t="shared" si="604"/>
        <v>0</v>
      </c>
      <c r="H815" s="35">
        <f t="shared" si="604"/>
        <v>49198.65</v>
      </c>
      <c r="I815" s="35">
        <f t="shared" si="604"/>
        <v>0</v>
      </c>
      <c r="J815" s="35">
        <f t="shared" si="604"/>
        <v>49198.65</v>
      </c>
      <c r="K815" s="35">
        <f t="shared" si="604"/>
        <v>0</v>
      </c>
      <c r="L815" s="35">
        <f t="shared" si="604"/>
        <v>0</v>
      </c>
      <c r="M815" s="35">
        <f t="shared" si="604"/>
        <v>0</v>
      </c>
      <c r="N815" s="35">
        <f t="shared" si="604"/>
        <v>49198.65</v>
      </c>
      <c r="O815" s="35">
        <f t="shared" si="604"/>
        <v>0</v>
      </c>
      <c r="P815" s="35">
        <f t="shared" si="604"/>
        <v>49198.65</v>
      </c>
    </row>
    <row r="816" spans="1:20" x14ac:dyDescent="0.25">
      <c r="C816" s="104"/>
      <c r="D816" s="100"/>
      <c r="E816" s="34"/>
      <c r="F816" s="34"/>
      <c r="G816" s="34">
        <f t="shared" si="585"/>
        <v>0</v>
      </c>
      <c r="H816" s="34"/>
      <c r="I816" s="34"/>
      <c r="J816" s="34">
        <f t="shared" si="581"/>
        <v>0</v>
      </c>
      <c r="K816" s="34"/>
      <c r="L816" s="34"/>
      <c r="M816" s="34">
        <f t="shared" si="582"/>
        <v>0</v>
      </c>
      <c r="N816" s="34">
        <f t="shared" si="586"/>
        <v>0</v>
      </c>
      <c r="O816" s="34">
        <f t="shared" si="587"/>
        <v>0</v>
      </c>
      <c r="P816" s="34"/>
    </row>
    <row r="817" spans="1:19" x14ac:dyDescent="0.25">
      <c r="A817" s="9" t="s">
        <v>431</v>
      </c>
      <c r="B817" s="12" t="str">
        <f>LEFT(A817,5)</f>
        <v>47.34</v>
      </c>
      <c r="C817" s="103">
        <f t="shared" ref="C817:D817" si="605">C815</f>
        <v>69677</v>
      </c>
      <c r="D817" s="99">
        <f t="shared" si="605"/>
        <v>15890</v>
      </c>
      <c r="E817" s="35">
        <f>E815</f>
        <v>0</v>
      </c>
      <c r="F817" s="35">
        <f t="shared" ref="F817:P817" si="606">F815</f>
        <v>0</v>
      </c>
      <c r="G817" s="35">
        <f t="shared" si="606"/>
        <v>0</v>
      </c>
      <c r="H817" s="35">
        <f t="shared" si="606"/>
        <v>49198.65</v>
      </c>
      <c r="I817" s="35">
        <f t="shared" si="606"/>
        <v>0</v>
      </c>
      <c r="J817" s="35">
        <f t="shared" si="606"/>
        <v>49198.65</v>
      </c>
      <c r="K817" s="35">
        <f t="shared" si="606"/>
        <v>0</v>
      </c>
      <c r="L817" s="35">
        <f t="shared" si="606"/>
        <v>0</v>
      </c>
      <c r="M817" s="35">
        <f t="shared" si="606"/>
        <v>0</v>
      </c>
      <c r="N817" s="35">
        <f t="shared" si="606"/>
        <v>49198.65</v>
      </c>
      <c r="O817" s="35">
        <f t="shared" si="606"/>
        <v>0</v>
      </c>
      <c r="P817" s="35">
        <f t="shared" si="606"/>
        <v>49198.65</v>
      </c>
    </row>
    <row r="818" spans="1:19" x14ac:dyDescent="0.25">
      <c r="C818" s="104"/>
      <c r="D818" s="100"/>
      <c r="E818" s="34"/>
      <c r="F818" s="34"/>
      <c r="G818" s="34">
        <f t="shared" si="585"/>
        <v>0</v>
      </c>
      <c r="H818" s="34"/>
      <c r="I818" s="34"/>
      <c r="J818" s="34">
        <f t="shared" si="581"/>
        <v>0</v>
      </c>
      <c r="K818" s="34"/>
      <c r="L818" s="34"/>
      <c r="M818" s="34">
        <f t="shared" si="582"/>
        <v>0</v>
      </c>
      <c r="N818" s="34">
        <f t="shared" si="586"/>
        <v>0</v>
      </c>
      <c r="O818" s="34">
        <f t="shared" si="587"/>
        <v>0</v>
      </c>
      <c r="P818" s="34"/>
    </row>
    <row r="819" spans="1:19" x14ac:dyDescent="0.25">
      <c r="A819" s="8" t="s">
        <v>432</v>
      </c>
      <c r="B819" s="4" t="str">
        <f t="shared" ref="B819:B825" si="607">LEFT(A819,4)</f>
        <v>5001</v>
      </c>
      <c r="C819" s="104">
        <v>56202</v>
      </c>
      <c r="D819" s="100">
        <v>12538</v>
      </c>
      <c r="E819" s="34"/>
      <c r="F819" s="34"/>
      <c r="G819" s="34">
        <f t="shared" si="585"/>
        <v>0</v>
      </c>
      <c r="H819" s="34"/>
      <c r="I819" s="34"/>
      <c r="J819" s="34">
        <f t="shared" si="581"/>
        <v>0</v>
      </c>
      <c r="K819" s="34">
        <f>VLOOKUP($B819,Arena_Sage!$A$5:$D$189,3,0)</f>
        <v>36688.769999999997</v>
      </c>
      <c r="L819" s="34">
        <f>VLOOKUP($B819,Arena_Sage!$A$5:$D$189,4,0)</f>
        <v>0</v>
      </c>
      <c r="M819" s="34">
        <f t="shared" si="582"/>
        <v>36688.769999999997</v>
      </c>
      <c r="N819" s="34">
        <f t="shared" si="586"/>
        <v>36688.769999999997</v>
      </c>
      <c r="O819" s="34">
        <f t="shared" si="587"/>
        <v>0</v>
      </c>
      <c r="P819" s="34">
        <f t="shared" si="590"/>
        <v>36688.769999999997</v>
      </c>
      <c r="R819" s="4">
        <v>49227</v>
      </c>
      <c r="S819" s="98">
        <f>R819-P819</f>
        <v>12538.230000000003</v>
      </c>
    </row>
    <row r="820" spans="1:19" x14ac:dyDescent="0.25">
      <c r="A820" s="8" t="s">
        <v>433</v>
      </c>
      <c r="B820" s="4" t="str">
        <f t="shared" si="607"/>
        <v>5012</v>
      </c>
      <c r="C820" s="104"/>
      <c r="D820" s="100"/>
      <c r="E820" s="34"/>
      <c r="F820" s="34"/>
      <c r="G820" s="34">
        <f t="shared" si="585"/>
        <v>0</v>
      </c>
      <c r="H820" s="34"/>
      <c r="I820" s="34"/>
      <c r="J820" s="34">
        <f t="shared" si="581"/>
        <v>0</v>
      </c>
      <c r="K820" s="34">
        <f>VLOOKUP($B820,Arena_Sage!$A$5:$D$189,3,0)</f>
        <v>0</v>
      </c>
      <c r="L820" s="34">
        <f>VLOOKUP($B820,Arena_Sage!$A$5:$D$189,4,0)</f>
        <v>0</v>
      </c>
      <c r="M820" s="34">
        <f t="shared" si="582"/>
        <v>0</v>
      </c>
      <c r="N820" s="34">
        <f t="shared" si="586"/>
        <v>0</v>
      </c>
      <c r="O820" s="34">
        <f t="shared" si="587"/>
        <v>0</v>
      </c>
      <c r="P820" s="34">
        <f t="shared" si="590"/>
        <v>0</v>
      </c>
    </row>
    <row r="821" spans="1:19" x14ac:dyDescent="0.25">
      <c r="A821" s="8" t="s">
        <v>434</v>
      </c>
      <c r="B821" s="4" t="str">
        <f t="shared" si="607"/>
        <v>5015</v>
      </c>
      <c r="C821" s="104"/>
      <c r="D821" s="100"/>
      <c r="E821" s="34"/>
      <c r="F821" s="34"/>
      <c r="G821" s="34">
        <f t="shared" si="585"/>
        <v>0</v>
      </c>
      <c r="H821" s="34"/>
      <c r="I821" s="34"/>
      <c r="J821" s="34">
        <f t="shared" si="581"/>
        <v>0</v>
      </c>
      <c r="K821" s="34">
        <f>VLOOKUP($B821,Arena_Sage!$A$5:$D$189,3,0)</f>
        <v>0</v>
      </c>
      <c r="L821" s="34">
        <f>VLOOKUP($B821,Arena_Sage!$A$5:$D$189,4,0)</f>
        <v>0</v>
      </c>
      <c r="M821" s="34">
        <f t="shared" si="582"/>
        <v>0</v>
      </c>
      <c r="N821" s="34">
        <f t="shared" si="586"/>
        <v>0</v>
      </c>
      <c r="O821" s="34">
        <f t="shared" si="587"/>
        <v>0</v>
      </c>
      <c r="P821" s="34">
        <f t="shared" si="590"/>
        <v>0</v>
      </c>
    </row>
    <row r="822" spans="1:19" x14ac:dyDescent="0.25">
      <c r="A822" s="8" t="s">
        <v>435</v>
      </c>
      <c r="B822" s="4" t="str">
        <f t="shared" si="607"/>
        <v>5018</v>
      </c>
      <c r="C822" s="104"/>
      <c r="D822" s="100"/>
      <c r="E822" s="34"/>
      <c r="F822" s="34"/>
      <c r="G822" s="34">
        <f t="shared" si="585"/>
        <v>0</v>
      </c>
      <c r="H822" s="34"/>
      <c r="I822" s="34"/>
      <c r="J822" s="34">
        <f t="shared" si="581"/>
        <v>0</v>
      </c>
      <c r="K822" s="34">
        <f>VLOOKUP($B822,Arena_Sage!$A$5:$D$189,3,0)</f>
        <v>1002.04</v>
      </c>
      <c r="L822" s="34">
        <f>VLOOKUP($B822,Arena_Sage!$A$5:$D$189,4,0)</f>
        <v>0</v>
      </c>
      <c r="M822" s="34">
        <f t="shared" si="582"/>
        <v>1002.04</v>
      </c>
      <c r="N822" s="34">
        <f t="shared" si="586"/>
        <v>1002.04</v>
      </c>
      <c r="O822" s="34">
        <f t="shared" si="587"/>
        <v>0</v>
      </c>
      <c r="P822" s="34">
        <f t="shared" si="590"/>
        <v>1002.04</v>
      </c>
    </row>
    <row r="823" spans="1:19" x14ac:dyDescent="0.25">
      <c r="A823" s="8" t="s">
        <v>436</v>
      </c>
      <c r="B823" s="4" t="str">
        <f t="shared" si="607"/>
        <v>5510</v>
      </c>
      <c r="C823" s="104">
        <v>24537</v>
      </c>
      <c r="D823" s="100">
        <v>8708</v>
      </c>
      <c r="E823" s="34"/>
      <c r="F823" s="34"/>
      <c r="G823" s="34">
        <f t="shared" si="585"/>
        <v>0</v>
      </c>
      <c r="H823" s="34"/>
      <c r="I823" s="34"/>
      <c r="J823" s="34">
        <f t="shared" si="581"/>
        <v>0</v>
      </c>
      <c r="K823" s="34">
        <f>VLOOKUP($B823,Arena_Sage!$A$5:$D$189,3,0)</f>
        <v>13935.59</v>
      </c>
      <c r="L823" s="34">
        <f>VLOOKUP($B823,Arena_Sage!$A$5:$D$189,4,0)</f>
        <v>0</v>
      </c>
      <c r="M823" s="34">
        <f t="shared" si="582"/>
        <v>13935.59</v>
      </c>
      <c r="N823" s="34">
        <f t="shared" si="586"/>
        <v>13935.59</v>
      </c>
      <c r="O823" s="34">
        <f t="shared" si="587"/>
        <v>0</v>
      </c>
      <c r="P823" s="34">
        <f t="shared" si="590"/>
        <v>13935.59</v>
      </c>
      <c r="R823" s="4">
        <v>22644</v>
      </c>
      <c r="S823" s="98">
        <f>R823-P823</f>
        <v>8708.41</v>
      </c>
    </row>
    <row r="824" spans="1:19" x14ac:dyDescent="0.25">
      <c r="A824" s="8" t="s">
        <v>437</v>
      </c>
      <c r="B824" s="4" t="str">
        <f t="shared" si="607"/>
        <v>5530</v>
      </c>
      <c r="C824" s="104"/>
      <c r="D824" s="100"/>
      <c r="E824" s="34"/>
      <c r="F824" s="34"/>
      <c r="G824" s="34">
        <f t="shared" si="585"/>
        <v>0</v>
      </c>
      <c r="H824" s="34"/>
      <c r="I824" s="34"/>
      <c r="J824" s="34">
        <f t="shared" si="581"/>
        <v>0</v>
      </c>
      <c r="K824" s="34">
        <f>VLOOKUP($B824,Arena_Sage!$A$5:$D$189,3,0)</f>
        <v>0</v>
      </c>
      <c r="L824" s="34">
        <f>VLOOKUP($B824,Arena_Sage!$A$5:$D$189,4,0)</f>
        <v>0</v>
      </c>
      <c r="M824" s="34">
        <f t="shared" si="582"/>
        <v>0</v>
      </c>
      <c r="N824" s="34">
        <f t="shared" si="586"/>
        <v>0</v>
      </c>
      <c r="O824" s="34">
        <f t="shared" si="587"/>
        <v>0</v>
      </c>
      <c r="P824" s="34">
        <f t="shared" si="590"/>
        <v>0</v>
      </c>
    </row>
    <row r="825" spans="1:19" x14ac:dyDescent="0.25">
      <c r="A825" s="8" t="s">
        <v>438</v>
      </c>
      <c r="B825" s="4" t="str">
        <f t="shared" si="607"/>
        <v>5540</v>
      </c>
      <c r="C825" s="104"/>
      <c r="D825" s="100"/>
      <c r="E825" s="34"/>
      <c r="F825" s="34"/>
      <c r="G825" s="34">
        <f t="shared" si="585"/>
        <v>0</v>
      </c>
      <c r="H825" s="34"/>
      <c r="I825" s="34"/>
      <c r="J825" s="34">
        <f t="shared" si="581"/>
        <v>0</v>
      </c>
      <c r="K825" s="34">
        <f>VLOOKUP($B825,Arena_Sage!$A$5:$D$189,3,0)</f>
        <v>0</v>
      </c>
      <c r="L825" s="34">
        <f>VLOOKUP($B825,Arena_Sage!$A$5:$D$189,4,0)</f>
        <v>0</v>
      </c>
      <c r="M825" s="34">
        <f t="shared" si="582"/>
        <v>0</v>
      </c>
      <c r="N825" s="34">
        <f t="shared" si="586"/>
        <v>0</v>
      </c>
      <c r="O825" s="34">
        <f t="shared" si="587"/>
        <v>0</v>
      </c>
      <c r="P825" s="34">
        <f t="shared" si="590"/>
        <v>0</v>
      </c>
    </row>
    <row r="826" spans="1:19" x14ac:dyDescent="0.25">
      <c r="A826" s="8" t="s">
        <v>12</v>
      </c>
      <c r="C826" s="103">
        <f t="shared" ref="C826:D826" si="608">SUM(C819:C825)</f>
        <v>80739</v>
      </c>
      <c r="D826" s="99">
        <f t="shared" si="608"/>
        <v>21246</v>
      </c>
      <c r="E826" s="35">
        <f>SUM(E819:E825)</f>
        <v>0</v>
      </c>
      <c r="F826" s="35">
        <f t="shared" ref="F826:P826" si="609">SUM(F819:F825)</f>
        <v>0</v>
      </c>
      <c r="G826" s="35">
        <f t="shared" si="609"/>
        <v>0</v>
      </c>
      <c r="H826" s="35">
        <f t="shared" si="609"/>
        <v>0</v>
      </c>
      <c r="I826" s="35">
        <f t="shared" si="609"/>
        <v>0</v>
      </c>
      <c r="J826" s="35">
        <f t="shared" si="609"/>
        <v>0</v>
      </c>
      <c r="K826" s="35">
        <f t="shared" si="609"/>
        <v>51626.399999999994</v>
      </c>
      <c r="L826" s="35">
        <f t="shared" si="609"/>
        <v>0</v>
      </c>
      <c r="M826" s="35">
        <f t="shared" si="609"/>
        <v>51626.399999999994</v>
      </c>
      <c r="N826" s="35">
        <f t="shared" si="609"/>
        <v>51626.399999999994</v>
      </c>
      <c r="O826" s="35">
        <f t="shared" si="609"/>
        <v>0</v>
      </c>
      <c r="P826" s="35">
        <f t="shared" si="609"/>
        <v>51626.399999999994</v>
      </c>
    </row>
    <row r="827" spans="1:19" x14ac:dyDescent="0.25">
      <c r="C827" s="104"/>
      <c r="D827" s="100"/>
      <c r="E827" s="34"/>
      <c r="F827" s="34"/>
      <c r="G827" s="34">
        <f t="shared" si="585"/>
        <v>0</v>
      </c>
      <c r="H827" s="34"/>
      <c r="I827" s="34"/>
      <c r="J827" s="34">
        <f t="shared" si="581"/>
        <v>0</v>
      </c>
      <c r="K827" s="34"/>
      <c r="L827" s="34"/>
      <c r="M827" s="34">
        <f t="shared" si="582"/>
        <v>0</v>
      </c>
      <c r="N827" s="34">
        <f t="shared" si="586"/>
        <v>0</v>
      </c>
      <c r="O827" s="34">
        <f t="shared" si="587"/>
        <v>0</v>
      </c>
      <c r="P827" s="34"/>
    </row>
    <row r="828" spans="1:19" x14ac:dyDescent="0.25">
      <c r="A828" s="9" t="s">
        <v>439</v>
      </c>
      <c r="B828" s="12" t="str">
        <f>LEFT(A828,5)</f>
        <v>48. 1</v>
      </c>
      <c r="C828" s="103">
        <f t="shared" ref="C828:D828" si="610">C826</f>
        <v>80739</v>
      </c>
      <c r="D828" s="99">
        <f t="shared" si="610"/>
        <v>21246</v>
      </c>
      <c r="E828" s="35">
        <f>E826</f>
        <v>0</v>
      </c>
      <c r="F828" s="35">
        <f t="shared" ref="F828:P828" si="611">F826</f>
        <v>0</v>
      </c>
      <c r="G828" s="35">
        <f t="shared" si="611"/>
        <v>0</v>
      </c>
      <c r="H828" s="35">
        <f t="shared" si="611"/>
        <v>0</v>
      </c>
      <c r="I828" s="35">
        <f t="shared" si="611"/>
        <v>0</v>
      </c>
      <c r="J828" s="35">
        <f t="shared" si="611"/>
        <v>0</v>
      </c>
      <c r="K828" s="35">
        <f t="shared" si="611"/>
        <v>51626.399999999994</v>
      </c>
      <c r="L828" s="35">
        <f t="shared" si="611"/>
        <v>0</v>
      </c>
      <c r="M828" s="35">
        <f t="shared" si="611"/>
        <v>51626.399999999994</v>
      </c>
      <c r="N828" s="35">
        <f t="shared" si="611"/>
        <v>51626.399999999994</v>
      </c>
      <c r="O828" s="35">
        <f t="shared" si="611"/>
        <v>0</v>
      </c>
      <c r="P828" s="35">
        <f t="shared" si="611"/>
        <v>51626.399999999994</v>
      </c>
    </row>
    <row r="829" spans="1:19" x14ac:dyDescent="0.25">
      <c r="C829" s="104"/>
      <c r="D829" s="100"/>
      <c r="E829" s="34"/>
      <c r="F829" s="34"/>
      <c r="G829" s="34">
        <f t="shared" si="585"/>
        <v>0</v>
      </c>
      <c r="H829" s="34"/>
      <c r="I829" s="34"/>
      <c r="J829" s="34">
        <f t="shared" si="581"/>
        <v>0</v>
      </c>
      <c r="K829" s="34"/>
      <c r="L829" s="34"/>
      <c r="M829" s="34">
        <f t="shared" si="582"/>
        <v>0</v>
      </c>
      <c r="N829" s="34">
        <f t="shared" si="586"/>
        <v>0</v>
      </c>
      <c r="O829" s="34">
        <f t="shared" si="587"/>
        <v>0</v>
      </c>
      <c r="P829" s="34"/>
    </row>
    <row r="830" spans="1:19" x14ac:dyDescent="0.25">
      <c r="A830" s="8" t="s">
        <v>440</v>
      </c>
      <c r="B830" s="4" t="str">
        <f>LEFT(A830,4)</f>
        <v>5045</v>
      </c>
      <c r="C830" s="104">
        <v>3500</v>
      </c>
      <c r="D830" s="100">
        <v>3000</v>
      </c>
      <c r="E830" s="34"/>
      <c r="F830" s="34"/>
      <c r="G830" s="34">
        <f t="shared" si="585"/>
        <v>0</v>
      </c>
      <c r="H830" s="34"/>
      <c r="I830" s="34"/>
      <c r="J830" s="34">
        <f t="shared" si="581"/>
        <v>0</v>
      </c>
      <c r="K830" s="34">
        <f>VLOOKUP($B830,Arena_Sage!$A$5:$D$189,3,0)</f>
        <v>0</v>
      </c>
      <c r="L830" s="34">
        <f>VLOOKUP($B830,Arena_Sage!$A$5:$D$189,4,0)</f>
        <v>0</v>
      </c>
      <c r="M830" s="34">
        <f t="shared" si="582"/>
        <v>0</v>
      </c>
      <c r="N830" s="34">
        <f t="shared" si="586"/>
        <v>0</v>
      </c>
      <c r="O830" s="34">
        <f t="shared" si="587"/>
        <v>0</v>
      </c>
      <c r="P830" s="34">
        <f t="shared" si="590"/>
        <v>0</v>
      </c>
      <c r="R830" s="4" t="s">
        <v>2236</v>
      </c>
    </row>
    <row r="831" spans="1:19" x14ac:dyDescent="0.25">
      <c r="A831" s="8" t="s">
        <v>12</v>
      </c>
      <c r="C831" s="103">
        <f t="shared" ref="C831:D831" si="612">C830</f>
        <v>3500</v>
      </c>
      <c r="D831" s="99">
        <f t="shared" si="612"/>
        <v>3000</v>
      </c>
      <c r="E831" s="35">
        <f>E830</f>
        <v>0</v>
      </c>
      <c r="F831" s="35">
        <f t="shared" ref="F831:P831" si="613">F830</f>
        <v>0</v>
      </c>
      <c r="G831" s="35">
        <f t="shared" si="613"/>
        <v>0</v>
      </c>
      <c r="H831" s="35">
        <f t="shared" si="613"/>
        <v>0</v>
      </c>
      <c r="I831" s="35">
        <f t="shared" si="613"/>
        <v>0</v>
      </c>
      <c r="J831" s="35">
        <f t="shared" si="613"/>
        <v>0</v>
      </c>
      <c r="K831" s="35">
        <f t="shared" si="613"/>
        <v>0</v>
      </c>
      <c r="L831" s="35">
        <f t="shared" si="613"/>
        <v>0</v>
      </c>
      <c r="M831" s="35">
        <f t="shared" si="613"/>
        <v>0</v>
      </c>
      <c r="N831" s="35">
        <f t="shared" si="613"/>
        <v>0</v>
      </c>
      <c r="O831" s="35">
        <f t="shared" si="613"/>
        <v>0</v>
      </c>
      <c r="P831" s="35">
        <f t="shared" si="613"/>
        <v>0</v>
      </c>
    </row>
    <row r="832" spans="1:19" x14ac:dyDescent="0.25">
      <c r="C832" s="104"/>
      <c r="D832" s="100"/>
      <c r="E832" s="34"/>
      <c r="F832" s="34"/>
      <c r="G832" s="34">
        <f t="shared" si="585"/>
        <v>0</v>
      </c>
      <c r="H832" s="34"/>
      <c r="I832" s="34"/>
      <c r="J832" s="34">
        <f t="shared" si="581"/>
        <v>0</v>
      </c>
      <c r="K832" s="34"/>
      <c r="L832" s="34"/>
      <c r="M832" s="34">
        <f t="shared" si="582"/>
        <v>0</v>
      </c>
      <c r="N832" s="34">
        <f t="shared" si="586"/>
        <v>0</v>
      </c>
      <c r="O832" s="34">
        <f t="shared" si="587"/>
        <v>0</v>
      </c>
      <c r="P832" s="34"/>
    </row>
    <row r="833" spans="1:18" x14ac:dyDescent="0.25">
      <c r="A833" s="9" t="s">
        <v>441</v>
      </c>
      <c r="B833" s="12" t="str">
        <f>LEFT(A833,5)</f>
        <v>48. 5</v>
      </c>
      <c r="C833" s="103">
        <f t="shared" ref="C833:D833" si="614">C831</f>
        <v>3500</v>
      </c>
      <c r="D833" s="99">
        <f t="shared" si="614"/>
        <v>3000</v>
      </c>
      <c r="E833" s="35">
        <f>E831</f>
        <v>0</v>
      </c>
      <c r="F833" s="35">
        <f t="shared" ref="F833:P833" si="615">F831</f>
        <v>0</v>
      </c>
      <c r="G833" s="35">
        <f t="shared" si="615"/>
        <v>0</v>
      </c>
      <c r="H833" s="35">
        <f t="shared" si="615"/>
        <v>0</v>
      </c>
      <c r="I833" s="35">
        <f t="shared" si="615"/>
        <v>0</v>
      </c>
      <c r="J833" s="35">
        <f t="shared" si="615"/>
        <v>0</v>
      </c>
      <c r="K833" s="35">
        <f t="shared" si="615"/>
        <v>0</v>
      </c>
      <c r="L833" s="35">
        <f t="shared" si="615"/>
        <v>0</v>
      </c>
      <c r="M833" s="35">
        <f t="shared" si="615"/>
        <v>0</v>
      </c>
      <c r="N833" s="35">
        <f t="shared" si="615"/>
        <v>0</v>
      </c>
      <c r="O833" s="35">
        <f t="shared" si="615"/>
        <v>0</v>
      </c>
      <c r="P833" s="35">
        <f t="shared" si="615"/>
        <v>0</v>
      </c>
    </row>
    <row r="834" spans="1:18" x14ac:dyDescent="0.25">
      <c r="C834" s="104"/>
      <c r="D834" s="100"/>
      <c r="E834" s="34"/>
      <c r="F834" s="34"/>
      <c r="G834" s="34">
        <f t="shared" si="585"/>
        <v>0</v>
      </c>
      <c r="H834" s="34"/>
      <c r="I834" s="34"/>
      <c r="J834" s="34">
        <f t="shared" si="581"/>
        <v>0</v>
      </c>
      <c r="K834" s="34"/>
      <c r="L834" s="34"/>
      <c r="M834" s="34">
        <f t="shared" si="582"/>
        <v>0</v>
      </c>
      <c r="N834" s="34">
        <f t="shared" si="586"/>
        <v>0</v>
      </c>
      <c r="O834" s="34">
        <f t="shared" si="587"/>
        <v>0</v>
      </c>
      <c r="P834" s="34"/>
    </row>
    <row r="835" spans="1:18" x14ac:dyDescent="0.25">
      <c r="A835" s="8" t="s">
        <v>442</v>
      </c>
      <c r="B835" s="4" t="str">
        <f>LEFT(A835,4)</f>
        <v>5033</v>
      </c>
      <c r="C835" s="104">
        <v>1560</v>
      </c>
      <c r="D835" s="100">
        <v>200</v>
      </c>
      <c r="E835" s="34"/>
      <c r="F835" s="34"/>
      <c r="G835" s="34">
        <f t="shared" si="585"/>
        <v>0</v>
      </c>
      <c r="H835" s="34"/>
      <c r="I835" s="34"/>
      <c r="J835" s="34">
        <f t="shared" si="581"/>
        <v>0</v>
      </c>
      <c r="K835" s="34">
        <f>VLOOKUP($B835,Arena_Sage!$A$5:$D$189,3,0)</f>
        <v>1290.53</v>
      </c>
      <c r="L835" s="34">
        <f>VLOOKUP($B835,Arena_Sage!$A$5:$D$189,4,0)</f>
        <v>0</v>
      </c>
      <c r="M835" s="34">
        <f t="shared" si="582"/>
        <v>1290.53</v>
      </c>
      <c r="N835" s="34">
        <f t="shared" si="586"/>
        <v>1290.53</v>
      </c>
      <c r="O835" s="34">
        <f t="shared" si="587"/>
        <v>0</v>
      </c>
      <c r="P835" s="34">
        <f t="shared" si="590"/>
        <v>1290.53</v>
      </c>
      <c r="R835" s="4">
        <f>130*12</f>
        <v>1560</v>
      </c>
    </row>
    <row r="836" spans="1:18" x14ac:dyDescent="0.25">
      <c r="A836" s="8" t="s">
        <v>443</v>
      </c>
      <c r="B836" s="4" t="str">
        <f>LEFT(A836,4)</f>
        <v>5575</v>
      </c>
      <c r="C836" s="104"/>
      <c r="D836" s="100"/>
      <c r="E836" s="34"/>
      <c r="F836" s="34"/>
      <c r="G836" s="34">
        <f t="shared" si="585"/>
        <v>0</v>
      </c>
      <c r="H836" s="34"/>
      <c r="I836" s="34"/>
      <c r="J836" s="34">
        <f t="shared" si="581"/>
        <v>0</v>
      </c>
      <c r="K836" s="34">
        <f>VLOOKUP($B836,Arena_Sage!$A$5:$D$189,3,0)</f>
        <v>0</v>
      </c>
      <c r="L836" s="34">
        <f>VLOOKUP($B836,Arena_Sage!$A$5:$D$189,4,0)</f>
        <v>0</v>
      </c>
      <c r="M836" s="34">
        <f t="shared" si="582"/>
        <v>0</v>
      </c>
      <c r="N836" s="34">
        <f t="shared" si="586"/>
        <v>0</v>
      </c>
      <c r="O836" s="34">
        <f t="shared" si="587"/>
        <v>0</v>
      </c>
      <c r="P836" s="34"/>
    </row>
    <row r="837" spans="1:18" x14ac:dyDescent="0.25">
      <c r="A837" s="8" t="s">
        <v>12</v>
      </c>
      <c r="C837" s="103">
        <f t="shared" ref="C837:D837" si="616">C836+C835</f>
        <v>1560</v>
      </c>
      <c r="D837" s="99">
        <f t="shared" si="616"/>
        <v>200</v>
      </c>
      <c r="E837" s="35">
        <f>E836+E835</f>
        <v>0</v>
      </c>
      <c r="F837" s="35">
        <f t="shared" ref="F837:P837" si="617">F836+F835</f>
        <v>0</v>
      </c>
      <c r="G837" s="35">
        <f t="shared" si="617"/>
        <v>0</v>
      </c>
      <c r="H837" s="35">
        <f t="shared" si="617"/>
        <v>0</v>
      </c>
      <c r="I837" s="35">
        <f t="shared" si="617"/>
        <v>0</v>
      </c>
      <c r="J837" s="35">
        <f t="shared" si="617"/>
        <v>0</v>
      </c>
      <c r="K837" s="35">
        <f t="shared" si="617"/>
        <v>1290.53</v>
      </c>
      <c r="L837" s="35">
        <f t="shared" si="617"/>
        <v>0</v>
      </c>
      <c r="M837" s="35">
        <f t="shared" si="617"/>
        <v>1290.53</v>
      </c>
      <c r="N837" s="35">
        <f t="shared" si="617"/>
        <v>1290.53</v>
      </c>
      <c r="O837" s="35">
        <f t="shared" si="617"/>
        <v>0</v>
      </c>
      <c r="P837" s="35">
        <f t="shared" si="617"/>
        <v>1290.53</v>
      </c>
    </row>
    <row r="838" spans="1:18" x14ac:dyDescent="0.25">
      <c r="C838" s="104"/>
      <c r="D838" s="100"/>
      <c r="E838" s="34"/>
      <c r="F838" s="34"/>
      <c r="G838" s="34">
        <f t="shared" si="585"/>
        <v>0</v>
      </c>
      <c r="H838" s="34"/>
      <c r="I838" s="34"/>
      <c r="J838" s="34">
        <f t="shared" si="581"/>
        <v>0</v>
      </c>
      <c r="K838" s="34"/>
      <c r="L838" s="34"/>
      <c r="M838" s="34">
        <f t="shared" si="582"/>
        <v>0</v>
      </c>
      <c r="N838" s="34">
        <f t="shared" si="586"/>
        <v>0</v>
      </c>
      <c r="O838" s="34">
        <f t="shared" si="587"/>
        <v>0</v>
      </c>
      <c r="P838" s="34"/>
    </row>
    <row r="839" spans="1:18" x14ac:dyDescent="0.25">
      <c r="A839" s="9" t="s">
        <v>444</v>
      </c>
      <c r="B839" s="12" t="str">
        <f>LEFT(A839,5)</f>
        <v>48.11</v>
      </c>
      <c r="C839" s="103">
        <f t="shared" ref="C839:D839" si="618">C837</f>
        <v>1560</v>
      </c>
      <c r="D839" s="99">
        <f t="shared" si="618"/>
        <v>200</v>
      </c>
      <c r="E839" s="35">
        <f>E837</f>
        <v>0</v>
      </c>
      <c r="F839" s="35">
        <f t="shared" ref="F839:P839" si="619">F837</f>
        <v>0</v>
      </c>
      <c r="G839" s="35">
        <f t="shared" si="619"/>
        <v>0</v>
      </c>
      <c r="H839" s="35">
        <f t="shared" si="619"/>
        <v>0</v>
      </c>
      <c r="I839" s="35">
        <f t="shared" si="619"/>
        <v>0</v>
      </c>
      <c r="J839" s="35">
        <f t="shared" si="619"/>
        <v>0</v>
      </c>
      <c r="K839" s="35">
        <f t="shared" si="619"/>
        <v>1290.53</v>
      </c>
      <c r="L839" s="35">
        <f t="shared" si="619"/>
        <v>0</v>
      </c>
      <c r="M839" s="35">
        <f t="shared" si="619"/>
        <v>1290.53</v>
      </c>
      <c r="N839" s="35">
        <f t="shared" si="619"/>
        <v>1290.53</v>
      </c>
      <c r="O839" s="35">
        <f t="shared" si="619"/>
        <v>0</v>
      </c>
      <c r="P839" s="35">
        <f t="shared" si="619"/>
        <v>1290.53</v>
      </c>
    </row>
    <row r="840" spans="1:18" x14ac:dyDescent="0.25">
      <c r="C840" s="104"/>
      <c r="D840" s="100"/>
      <c r="E840" s="34"/>
      <c r="F840" s="34"/>
      <c r="G840" s="34">
        <f t="shared" si="585"/>
        <v>0</v>
      </c>
      <c r="H840" s="34"/>
      <c r="I840" s="34"/>
      <c r="J840" s="34">
        <f t="shared" si="581"/>
        <v>0</v>
      </c>
      <c r="K840" s="34"/>
      <c r="L840" s="34"/>
      <c r="M840" s="34">
        <f t="shared" si="582"/>
        <v>0</v>
      </c>
      <c r="N840" s="34">
        <f t="shared" si="586"/>
        <v>0</v>
      </c>
      <c r="O840" s="34">
        <f t="shared" si="587"/>
        <v>0</v>
      </c>
      <c r="P840" s="34"/>
    </row>
    <row r="841" spans="1:18" x14ac:dyDescent="0.25">
      <c r="A841" s="8" t="s">
        <v>445</v>
      </c>
      <c r="B841" s="4" t="str">
        <f>LEFT(A841,4)</f>
        <v>5051</v>
      </c>
      <c r="C841" s="104">
        <v>5755</v>
      </c>
      <c r="D841" s="100"/>
      <c r="E841" s="34"/>
      <c r="F841" s="34"/>
      <c r="G841" s="34">
        <f t="shared" si="585"/>
        <v>0</v>
      </c>
      <c r="H841" s="34"/>
      <c r="I841" s="34"/>
      <c r="J841" s="34">
        <f t="shared" si="581"/>
        <v>0</v>
      </c>
      <c r="K841" s="34">
        <f>VLOOKUP($B841,Arena_Sage!$A$5:$D$189,3,0)</f>
        <v>5753.14</v>
      </c>
      <c r="L841" s="34">
        <f>VLOOKUP($B841,Arena_Sage!$A$5:$D$189,4,0)</f>
        <v>0</v>
      </c>
      <c r="M841" s="34">
        <f t="shared" si="582"/>
        <v>5753.14</v>
      </c>
      <c r="N841" s="34">
        <f t="shared" si="586"/>
        <v>5753.14</v>
      </c>
      <c r="O841" s="34">
        <f t="shared" si="587"/>
        <v>0</v>
      </c>
      <c r="P841" s="34">
        <f t="shared" si="590"/>
        <v>5753.14</v>
      </c>
    </row>
    <row r="842" spans="1:18" x14ac:dyDescent="0.25">
      <c r="A842" s="8" t="s">
        <v>12</v>
      </c>
      <c r="C842" s="103">
        <f t="shared" ref="C842:D842" si="620">C841</f>
        <v>5755</v>
      </c>
      <c r="D842" s="99">
        <f t="shared" si="620"/>
        <v>0</v>
      </c>
      <c r="E842" s="35">
        <f>E841</f>
        <v>0</v>
      </c>
      <c r="F842" s="35">
        <f t="shared" ref="F842:P842" si="621">F841</f>
        <v>0</v>
      </c>
      <c r="G842" s="35">
        <f t="shared" si="621"/>
        <v>0</v>
      </c>
      <c r="H842" s="35">
        <f t="shared" si="621"/>
        <v>0</v>
      </c>
      <c r="I842" s="35">
        <f t="shared" si="621"/>
        <v>0</v>
      </c>
      <c r="J842" s="35">
        <f t="shared" si="621"/>
        <v>0</v>
      </c>
      <c r="K842" s="35">
        <f t="shared" si="621"/>
        <v>5753.14</v>
      </c>
      <c r="L842" s="35">
        <f t="shared" si="621"/>
        <v>0</v>
      </c>
      <c r="M842" s="35">
        <f t="shared" si="621"/>
        <v>5753.14</v>
      </c>
      <c r="N842" s="35">
        <f t="shared" si="621"/>
        <v>5753.14</v>
      </c>
      <c r="O842" s="35">
        <f t="shared" si="621"/>
        <v>0</v>
      </c>
      <c r="P842" s="35">
        <f t="shared" si="621"/>
        <v>5753.14</v>
      </c>
    </row>
    <row r="843" spans="1:18" x14ac:dyDescent="0.25">
      <c r="C843" s="104"/>
      <c r="D843" s="100"/>
      <c r="E843" s="34"/>
      <c r="F843" s="34"/>
      <c r="G843" s="34">
        <f t="shared" si="585"/>
        <v>0</v>
      </c>
      <c r="H843" s="34"/>
      <c r="I843" s="34"/>
      <c r="J843" s="34">
        <f t="shared" si="581"/>
        <v>0</v>
      </c>
      <c r="K843" s="34"/>
      <c r="L843" s="34"/>
      <c r="M843" s="34">
        <f t="shared" si="582"/>
        <v>0</v>
      </c>
      <c r="N843" s="34">
        <f t="shared" si="586"/>
        <v>0</v>
      </c>
      <c r="O843" s="34">
        <f t="shared" si="587"/>
        <v>0</v>
      </c>
      <c r="P843" s="34"/>
    </row>
    <row r="844" spans="1:18" x14ac:dyDescent="0.25">
      <c r="A844" s="9" t="s">
        <v>446</v>
      </c>
      <c r="B844" s="12" t="str">
        <f>LEFT(A844,5)</f>
        <v>48.12</v>
      </c>
      <c r="C844" s="103">
        <f t="shared" ref="C844:D844" si="622">C842</f>
        <v>5755</v>
      </c>
      <c r="D844" s="99">
        <f t="shared" si="622"/>
        <v>0</v>
      </c>
      <c r="E844" s="35">
        <f>E842</f>
        <v>0</v>
      </c>
      <c r="F844" s="35">
        <f t="shared" ref="F844:P844" si="623">F842</f>
        <v>0</v>
      </c>
      <c r="G844" s="35">
        <f t="shared" si="623"/>
        <v>0</v>
      </c>
      <c r="H844" s="35">
        <f t="shared" si="623"/>
        <v>0</v>
      </c>
      <c r="I844" s="35">
        <f t="shared" si="623"/>
        <v>0</v>
      </c>
      <c r="J844" s="35">
        <f t="shared" si="623"/>
        <v>0</v>
      </c>
      <c r="K844" s="35">
        <f t="shared" si="623"/>
        <v>5753.14</v>
      </c>
      <c r="L844" s="35">
        <f t="shared" si="623"/>
        <v>0</v>
      </c>
      <c r="M844" s="35">
        <f t="shared" si="623"/>
        <v>5753.14</v>
      </c>
      <c r="N844" s="35">
        <f t="shared" si="623"/>
        <v>5753.14</v>
      </c>
      <c r="O844" s="35">
        <f t="shared" si="623"/>
        <v>0</v>
      </c>
      <c r="P844" s="35">
        <f t="shared" si="623"/>
        <v>5753.14</v>
      </c>
    </row>
    <row r="845" spans="1:18" x14ac:dyDescent="0.25">
      <c r="C845" s="104"/>
      <c r="D845" s="100"/>
      <c r="E845" s="34"/>
      <c r="F845" s="34"/>
      <c r="G845" s="34">
        <f t="shared" si="585"/>
        <v>0</v>
      </c>
      <c r="H845" s="34"/>
      <c r="I845" s="34"/>
      <c r="J845" s="34">
        <f t="shared" si="581"/>
        <v>0</v>
      </c>
      <c r="K845" s="34"/>
      <c r="L845" s="34"/>
      <c r="M845" s="34">
        <f t="shared" si="582"/>
        <v>0</v>
      </c>
      <c r="N845" s="34">
        <f t="shared" si="586"/>
        <v>0</v>
      </c>
      <c r="O845" s="34">
        <f t="shared" si="587"/>
        <v>0</v>
      </c>
      <c r="P845" s="34"/>
    </row>
    <row r="846" spans="1:18" x14ac:dyDescent="0.25">
      <c r="A846" s="8" t="s">
        <v>447</v>
      </c>
      <c r="B846" s="4" t="str">
        <f t="shared" ref="B846:B855" si="624">LEFT(A846,4)</f>
        <v>5024</v>
      </c>
      <c r="C846" s="104">
        <v>3000</v>
      </c>
      <c r="D846" s="100">
        <v>400</v>
      </c>
      <c r="E846" s="34"/>
      <c r="F846" s="34"/>
      <c r="G846" s="34">
        <f t="shared" si="585"/>
        <v>0</v>
      </c>
      <c r="H846" s="34"/>
      <c r="I846" s="34"/>
      <c r="J846" s="34">
        <f t="shared" si="581"/>
        <v>0</v>
      </c>
      <c r="K846" s="34">
        <f>VLOOKUP($B846,Arena_Sage!$A$5:$D$189,3,0)</f>
        <v>2245.56</v>
      </c>
      <c r="L846" s="34">
        <f>VLOOKUP($B846,Arena_Sage!$A$5:$D$189,4,0)</f>
        <v>0</v>
      </c>
      <c r="M846" s="34">
        <f t="shared" si="582"/>
        <v>2245.56</v>
      </c>
      <c r="N846" s="34">
        <f t="shared" si="586"/>
        <v>2245.56</v>
      </c>
      <c r="O846" s="34">
        <f t="shared" si="587"/>
        <v>0</v>
      </c>
      <c r="P846" s="34">
        <f t="shared" si="590"/>
        <v>2245.56</v>
      </c>
    </row>
    <row r="847" spans="1:18" x14ac:dyDescent="0.25">
      <c r="A847" s="8" t="s">
        <v>448</v>
      </c>
      <c r="B847" s="4" t="str">
        <f t="shared" si="624"/>
        <v>5025</v>
      </c>
      <c r="C847" s="104">
        <v>250</v>
      </c>
      <c r="D847" s="100">
        <v>0</v>
      </c>
      <c r="E847" s="34"/>
      <c r="F847" s="34"/>
      <c r="G847" s="34">
        <f t="shared" si="585"/>
        <v>0</v>
      </c>
      <c r="H847" s="34"/>
      <c r="I847" s="34"/>
      <c r="J847" s="34">
        <f t="shared" si="581"/>
        <v>0</v>
      </c>
      <c r="K847" s="34">
        <f>VLOOKUP($B847,Arena_Sage!$A$5:$D$189,3,0)</f>
        <v>166.21</v>
      </c>
      <c r="L847" s="34">
        <f>VLOOKUP($B847,Arena_Sage!$A$5:$D$189,4,0)</f>
        <v>0</v>
      </c>
      <c r="M847" s="34">
        <f t="shared" si="582"/>
        <v>166.21</v>
      </c>
      <c r="N847" s="34">
        <f t="shared" si="586"/>
        <v>166.21</v>
      </c>
      <c r="O847" s="34">
        <f t="shared" si="587"/>
        <v>0</v>
      </c>
      <c r="P847" s="34">
        <f t="shared" si="590"/>
        <v>166.21</v>
      </c>
    </row>
    <row r="848" spans="1:18" x14ac:dyDescent="0.25">
      <c r="A848" s="8" t="s">
        <v>449</v>
      </c>
      <c r="B848" s="4" t="str">
        <f t="shared" si="624"/>
        <v>5027</v>
      </c>
      <c r="C848" s="104">
        <v>2000</v>
      </c>
      <c r="D848" s="100">
        <v>0</v>
      </c>
      <c r="E848" s="34"/>
      <c r="F848" s="34"/>
      <c r="G848" s="34">
        <f t="shared" si="585"/>
        <v>0</v>
      </c>
      <c r="H848" s="34"/>
      <c r="I848" s="34"/>
      <c r="J848" s="34">
        <f t="shared" si="581"/>
        <v>0</v>
      </c>
      <c r="K848" s="34">
        <f>VLOOKUP($B848,Arena_Sage!$A$5:$D$189,3,0)</f>
        <v>1476.18</v>
      </c>
      <c r="L848" s="34">
        <f>VLOOKUP($B848,Arena_Sage!$A$5:$D$189,4,0)</f>
        <v>0</v>
      </c>
      <c r="M848" s="34">
        <f t="shared" si="582"/>
        <v>1476.18</v>
      </c>
      <c r="N848" s="34">
        <f t="shared" si="586"/>
        <v>1476.18</v>
      </c>
      <c r="O848" s="34">
        <f t="shared" si="587"/>
        <v>0</v>
      </c>
      <c r="P848" s="34">
        <f t="shared" si="590"/>
        <v>1476.18</v>
      </c>
    </row>
    <row r="849" spans="1:21" x14ac:dyDescent="0.25">
      <c r="A849" s="8" t="s">
        <v>450</v>
      </c>
      <c r="B849" s="4" t="str">
        <f t="shared" si="624"/>
        <v>5030</v>
      </c>
      <c r="C849" s="104">
        <v>0</v>
      </c>
      <c r="D849" s="100">
        <v>0</v>
      </c>
      <c r="E849" s="34"/>
      <c r="F849" s="34"/>
      <c r="G849" s="34">
        <f t="shared" si="585"/>
        <v>0</v>
      </c>
      <c r="H849" s="34"/>
      <c r="I849" s="34"/>
      <c r="J849" s="34">
        <f t="shared" si="581"/>
        <v>0</v>
      </c>
      <c r="K849" s="34">
        <f>VLOOKUP($B849,Arena_Sage!$A$5:$D$189,3,0)</f>
        <v>0</v>
      </c>
      <c r="L849" s="34">
        <f>VLOOKUP($B849,Arena_Sage!$A$5:$D$189,4,0)</f>
        <v>0</v>
      </c>
      <c r="M849" s="34">
        <f t="shared" si="582"/>
        <v>0</v>
      </c>
      <c r="N849" s="34">
        <f t="shared" si="586"/>
        <v>0</v>
      </c>
      <c r="O849" s="34">
        <f t="shared" si="587"/>
        <v>0</v>
      </c>
      <c r="P849" s="34">
        <f t="shared" si="590"/>
        <v>0</v>
      </c>
    </row>
    <row r="850" spans="1:21" x14ac:dyDescent="0.25">
      <c r="A850" s="8" t="s">
        <v>451</v>
      </c>
      <c r="B850" s="4" t="str">
        <f t="shared" si="624"/>
        <v>5036</v>
      </c>
      <c r="C850" s="104">
        <v>1000</v>
      </c>
      <c r="D850" s="100">
        <v>0</v>
      </c>
      <c r="E850" s="34"/>
      <c r="F850" s="34"/>
      <c r="G850" s="34">
        <f t="shared" si="585"/>
        <v>0</v>
      </c>
      <c r="H850" s="34"/>
      <c r="I850" s="34"/>
      <c r="J850" s="34">
        <f t="shared" si="581"/>
        <v>0</v>
      </c>
      <c r="K850" s="34">
        <f>VLOOKUP($B850,Arena_Sage!$A$5:$D$189,3,0)</f>
        <v>852.83</v>
      </c>
      <c r="L850" s="34">
        <f>VLOOKUP($B850,Arena_Sage!$A$5:$D$189,4,0)</f>
        <v>0</v>
      </c>
      <c r="M850" s="34">
        <f t="shared" si="582"/>
        <v>852.83</v>
      </c>
      <c r="N850" s="34">
        <f t="shared" si="586"/>
        <v>852.83</v>
      </c>
      <c r="O850" s="34">
        <f t="shared" si="587"/>
        <v>0</v>
      </c>
      <c r="P850" s="34">
        <f t="shared" si="590"/>
        <v>852.83</v>
      </c>
    </row>
    <row r="851" spans="1:21" x14ac:dyDescent="0.25">
      <c r="A851" s="8" t="s">
        <v>452</v>
      </c>
      <c r="B851" s="4" t="str">
        <f t="shared" si="624"/>
        <v>5061</v>
      </c>
      <c r="C851" s="104">
        <v>400</v>
      </c>
      <c r="D851" s="100">
        <v>0</v>
      </c>
      <c r="E851" s="34"/>
      <c r="F851" s="34"/>
      <c r="G851" s="34">
        <f t="shared" si="585"/>
        <v>0</v>
      </c>
      <c r="H851" s="34"/>
      <c r="I851" s="34"/>
      <c r="J851" s="34">
        <f t="shared" si="581"/>
        <v>0</v>
      </c>
      <c r="K851" s="34">
        <f>VLOOKUP($B851,Arena_Sage!$A$5:$D$189,3,0)</f>
        <v>246</v>
      </c>
      <c r="L851" s="34">
        <f>VLOOKUP($B851,Arena_Sage!$A$5:$D$189,4,0)</f>
        <v>0</v>
      </c>
      <c r="M851" s="34">
        <f t="shared" si="582"/>
        <v>246</v>
      </c>
      <c r="N851" s="34">
        <f t="shared" si="586"/>
        <v>246</v>
      </c>
      <c r="O851" s="34">
        <f t="shared" si="587"/>
        <v>0</v>
      </c>
      <c r="P851" s="34">
        <f t="shared" si="590"/>
        <v>246</v>
      </c>
    </row>
    <row r="852" spans="1:21" x14ac:dyDescent="0.25">
      <c r="A852" s="8" t="s">
        <v>453</v>
      </c>
      <c r="B852" s="4" t="str">
        <f t="shared" si="624"/>
        <v>5075</v>
      </c>
      <c r="C852" s="104">
        <v>6000</v>
      </c>
      <c r="D852" s="100">
        <v>400</v>
      </c>
      <c r="E852" s="34"/>
      <c r="F852" s="34"/>
      <c r="G852" s="34">
        <f t="shared" si="585"/>
        <v>0</v>
      </c>
      <c r="H852" s="34"/>
      <c r="I852" s="34"/>
      <c r="J852" s="34">
        <f t="shared" si="581"/>
        <v>0</v>
      </c>
      <c r="K852" s="34">
        <f>VLOOKUP($B852,Arena_Sage!$A$5:$D$189,3,0)</f>
        <v>5353.68</v>
      </c>
      <c r="L852" s="34">
        <f>VLOOKUP($B852,Arena_Sage!$A$5:$D$189,4,0)</f>
        <v>0</v>
      </c>
      <c r="M852" s="34">
        <f t="shared" si="582"/>
        <v>5353.68</v>
      </c>
      <c r="N852" s="34">
        <f t="shared" si="586"/>
        <v>5353.68</v>
      </c>
      <c r="O852" s="34">
        <f t="shared" si="587"/>
        <v>0</v>
      </c>
      <c r="P852" s="34">
        <f t="shared" si="590"/>
        <v>5353.68</v>
      </c>
      <c r="R852" s="4" t="s">
        <v>2237</v>
      </c>
    </row>
    <row r="853" spans="1:21" x14ac:dyDescent="0.25">
      <c r="A853" s="8" t="s">
        <v>454</v>
      </c>
      <c r="B853" s="4" t="str">
        <f t="shared" si="624"/>
        <v>5082</v>
      </c>
      <c r="C853" s="104">
        <v>850</v>
      </c>
      <c r="D853" s="100">
        <v>200</v>
      </c>
      <c r="E853" s="34"/>
      <c r="F853" s="34"/>
      <c r="G853" s="34">
        <f t="shared" si="585"/>
        <v>0</v>
      </c>
      <c r="H853" s="34"/>
      <c r="I853" s="34"/>
      <c r="J853" s="34">
        <f t="shared" si="581"/>
        <v>0</v>
      </c>
      <c r="K853" s="34">
        <f>VLOOKUP($B853,Arena_Sage!$A$5:$D$189,3,0)</f>
        <v>640.4</v>
      </c>
      <c r="L853" s="34">
        <f>VLOOKUP($B853,Arena_Sage!$A$5:$D$189,4,0)</f>
        <v>0</v>
      </c>
      <c r="M853" s="34">
        <f t="shared" si="582"/>
        <v>640.4</v>
      </c>
      <c r="N853" s="34">
        <f t="shared" si="586"/>
        <v>640.4</v>
      </c>
      <c r="O853" s="34">
        <f t="shared" si="587"/>
        <v>0</v>
      </c>
      <c r="P853" s="34">
        <f t="shared" si="590"/>
        <v>640.4</v>
      </c>
    </row>
    <row r="854" spans="1:21" x14ac:dyDescent="0.25">
      <c r="A854" s="8" t="s">
        <v>455</v>
      </c>
      <c r="B854" s="4" t="str">
        <f t="shared" si="624"/>
        <v>5580</v>
      </c>
      <c r="C854" s="104">
        <v>500</v>
      </c>
      <c r="D854" s="100">
        <v>0</v>
      </c>
      <c r="E854" s="34"/>
      <c r="F854" s="34"/>
      <c r="G854" s="34">
        <f t="shared" si="585"/>
        <v>0</v>
      </c>
      <c r="H854" s="34"/>
      <c r="I854" s="34"/>
      <c r="J854" s="34">
        <f t="shared" si="581"/>
        <v>0</v>
      </c>
      <c r="K854" s="34">
        <f>VLOOKUP($B854,Arena_Sage!$A$5:$D$189,3,0)</f>
        <v>0</v>
      </c>
      <c r="L854" s="34">
        <f>VLOOKUP($B854,Arena_Sage!$A$5:$D$189,4,0)</f>
        <v>0</v>
      </c>
      <c r="M854" s="34">
        <f t="shared" si="582"/>
        <v>0</v>
      </c>
      <c r="N854" s="34">
        <f t="shared" si="586"/>
        <v>0</v>
      </c>
      <c r="O854" s="34">
        <f t="shared" si="587"/>
        <v>0</v>
      </c>
      <c r="P854" s="34">
        <f t="shared" si="590"/>
        <v>0</v>
      </c>
    </row>
    <row r="855" spans="1:21" x14ac:dyDescent="0.25">
      <c r="A855" s="8" t="s">
        <v>2066</v>
      </c>
      <c r="B855" s="4" t="str">
        <f t="shared" si="624"/>
        <v>5072</v>
      </c>
      <c r="C855" s="104">
        <v>500</v>
      </c>
      <c r="D855" s="100">
        <v>0</v>
      </c>
      <c r="E855" s="34"/>
      <c r="F855" s="34"/>
      <c r="G855" s="34">
        <f t="shared" si="585"/>
        <v>0</v>
      </c>
      <c r="H855" s="34"/>
      <c r="I855" s="34"/>
      <c r="J855" s="34">
        <f t="shared" si="581"/>
        <v>0</v>
      </c>
      <c r="K855" s="34">
        <f>VLOOKUP($B855,Arena_Sage!$A$5:$D$189,3,0)</f>
        <v>805.79</v>
      </c>
      <c r="L855" s="34">
        <f>VLOOKUP($B855,Arena_Sage!$A$5:$D$189,4,0)</f>
        <v>0</v>
      </c>
      <c r="M855" s="34">
        <f t="shared" ref="M855" si="625">IF(K855&gt;0,K855,-L855)</f>
        <v>805.79</v>
      </c>
      <c r="N855" s="34">
        <f t="shared" ref="N855" si="626">E855+H855+K855</f>
        <v>805.79</v>
      </c>
      <c r="O855" s="34">
        <f t="shared" ref="O855" si="627">F855+I855+L855</f>
        <v>0</v>
      </c>
      <c r="P855" s="34">
        <f t="shared" ref="P855" si="628">IF(N855&gt;0,N855,-O855)</f>
        <v>805.79</v>
      </c>
      <c r="R855" s="4" t="s">
        <v>2238</v>
      </c>
    </row>
    <row r="856" spans="1:21" x14ac:dyDescent="0.25">
      <c r="A856" s="8" t="s">
        <v>12</v>
      </c>
      <c r="C856" s="103">
        <f t="shared" ref="C856:D856" si="629">SUM(C846:C855)</f>
        <v>14500</v>
      </c>
      <c r="D856" s="99">
        <f t="shared" si="629"/>
        <v>1000</v>
      </c>
      <c r="E856" s="35">
        <f>SUM(E846:E855)</f>
        <v>0</v>
      </c>
      <c r="F856" s="35">
        <f t="shared" ref="F856:P856" si="630">SUM(F846:F855)</f>
        <v>0</v>
      </c>
      <c r="G856" s="35">
        <f t="shared" si="630"/>
        <v>0</v>
      </c>
      <c r="H856" s="35">
        <f t="shared" si="630"/>
        <v>0</v>
      </c>
      <c r="I856" s="35">
        <f t="shared" si="630"/>
        <v>0</v>
      </c>
      <c r="J856" s="35">
        <f t="shared" si="630"/>
        <v>0</v>
      </c>
      <c r="K856" s="35">
        <f t="shared" si="630"/>
        <v>11786.649999999998</v>
      </c>
      <c r="L856" s="35">
        <f t="shared" si="630"/>
        <v>0</v>
      </c>
      <c r="M856" s="35">
        <f t="shared" si="630"/>
        <v>11786.649999999998</v>
      </c>
      <c r="N856" s="35">
        <f t="shared" si="630"/>
        <v>11786.649999999998</v>
      </c>
      <c r="O856" s="35">
        <f t="shared" si="630"/>
        <v>0</v>
      </c>
      <c r="P856" s="35">
        <f t="shared" si="630"/>
        <v>11786.649999999998</v>
      </c>
    </row>
    <row r="857" spans="1:21" x14ac:dyDescent="0.25">
      <c r="C857" s="104"/>
      <c r="D857" s="100"/>
      <c r="E857" s="34"/>
      <c r="F857" s="34"/>
      <c r="G857" s="34">
        <f t="shared" si="585"/>
        <v>0</v>
      </c>
      <c r="H857" s="34"/>
      <c r="I857" s="34"/>
      <c r="J857" s="34">
        <f t="shared" si="581"/>
        <v>0</v>
      </c>
      <c r="K857" s="34"/>
      <c r="L857" s="34"/>
      <c r="M857" s="34">
        <f t="shared" si="582"/>
        <v>0</v>
      </c>
      <c r="N857" s="34">
        <f t="shared" si="586"/>
        <v>0</v>
      </c>
      <c r="O857" s="34">
        <f t="shared" si="587"/>
        <v>0</v>
      </c>
      <c r="P857" s="34"/>
    </row>
    <row r="858" spans="1:21" x14ac:dyDescent="0.25">
      <c r="A858" s="9" t="s">
        <v>456</v>
      </c>
      <c r="B858" s="12" t="str">
        <f>LEFT(A858,5)</f>
        <v>48.13</v>
      </c>
      <c r="C858" s="103">
        <f t="shared" ref="C858:D858" si="631">C856</f>
        <v>14500</v>
      </c>
      <c r="D858" s="99">
        <f t="shared" si="631"/>
        <v>1000</v>
      </c>
      <c r="E858" s="35">
        <f>E856</f>
        <v>0</v>
      </c>
      <c r="F858" s="35">
        <f t="shared" ref="F858:P858" si="632">F856</f>
        <v>0</v>
      </c>
      <c r="G858" s="35">
        <f t="shared" si="632"/>
        <v>0</v>
      </c>
      <c r="H858" s="35">
        <f t="shared" si="632"/>
        <v>0</v>
      </c>
      <c r="I858" s="35">
        <f t="shared" si="632"/>
        <v>0</v>
      </c>
      <c r="J858" s="35">
        <f t="shared" si="632"/>
        <v>0</v>
      </c>
      <c r="K858" s="35">
        <f t="shared" si="632"/>
        <v>11786.649999999998</v>
      </c>
      <c r="L858" s="35">
        <f t="shared" si="632"/>
        <v>0</v>
      </c>
      <c r="M858" s="35">
        <f t="shared" si="632"/>
        <v>11786.649999999998</v>
      </c>
      <c r="N858" s="35">
        <f t="shared" si="632"/>
        <v>11786.649999999998</v>
      </c>
      <c r="O858" s="35">
        <f t="shared" si="632"/>
        <v>0</v>
      </c>
      <c r="P858" s="35">
        <f t="shared" si="632"/>
        <v>11786.649999999998</v>
      </c>
    </row>
    <row r="859" spans="1:21" x14ac:dyDescent="0.25">
      <c r="C859" s="104"/>
      <c r="D859" s="100"/>
      <c r="E859" s="34"/>
      <c r="F859" s="34"/>
      <c r="G859" s="34">
        <f t="shared" si="585"/>
        <v>0</v>
      </c>
      <c r="H859" s="34"/>
      <c r="I859" s="34"/>
      <c r="J859" s="34">
        <f t="shared" ref="J859:J923" si="633">IF(H859&gt;0,H859,-I859)</f>
        <v>0</v>
      </c>
      <c r="K859" s="34"/>
      <c r="L859" s="34"/>
      <c r="M859" s="34">
        <f t="shared" ref="M859:M923" si="634">IF(K859&gt;0,K859,-L859)</f>
        <v>0</v>
      </c>
      <c r="N859" s="34">
        <f t="shared" si="586"/>
        <v>0</v>
      </c>
      <c r="O859" s="34">
        <f t="shared" si="587"/>
        <v>0</v>
      </c>
      <c r="P859" s="34"/>
    </row>
    <row r="860" spans="1:21" x14ac:dyDescent="0.25">
      <c r="A860" s="8" t="s">
        <v>457</v>
      </c>
      <c r="B860" s="4" t="str">
        <f>LEFT(A860,4)</f>
        <v>5065</v>
      </c>
      <c r="C860" s="104">
        <f>17800+3244</f>
        <v>21044</v>
      </c>
      <c r="D860" s="100">
        <v>9877</v>
      </c>
      <c r="E860" s="34"/>
      <c r="F860" s="34"/>
      <c r="G860" s="34">
        <f t="shared" ref="G860:G924" si="635">IF(E860&gt;0,E860,-F860)</f>
        <v>0</v>
      </c>
      <c r="H860" s="34"/>
      <c r="I860" s="34"/>
      <c r="J860" s="34">
        <f t="shared" si="633"/>
        <v>0</v>
      </c>
      <c r="K860" s="34">
        <f>VLOOKUP($B860,Arena_Sage!$A$5:$D$189,3,0)</f>
        <v>7659.75</v>
      </c>
      <c r="L860" s="34">
        <f>VLOOKUP($B860,Arena_Sage!$A$5:$D$189,4,0)</f>
        <v>0</v>
      </c>
      <c r="M860" s="34">
        <f t="shared" si="634"/>
        <v>7659.75</v>
      </c>
      <c r="N860" s="34">
        <f t="shared" ref="N860:N924" si="636">E860+H860+K860</f>
        <v>7659.75</v>
      </c>
      <c r="O860" s="34">
        <f t="shared" ref="O860:O924" si="637">F860+I860+L860</f>
        <v>0</v>
      </c>
      <c r="P860" s="34">
        <f t="shared" ref="P860:P924" si="638">IF(N860&gt;0,N860,-O860)</f>
        <v>7659.75</v>
      </c>
      <c r="R860" s="4">
        <f>14833+2704</f>
        <v>17537</v>
      </c>
      <c r="S860" s="98">
        <f>R860-P860</f>
        <v>9877.25</v>
      </c>
    </row>
    <row r="861" spans="1:21" x14ac:dyDescent="0.25">
      <c r="A861" s="8" t="s">
        <v>12</v>
      </c>
      <c r="C861" s="103">
        <f t="shared" ref="C861:D861" si="639">C860</f>
        <v>21044</v>
      </c>
      <c r="D861" s="99">
        <f t="shared" si="639"/>
        <v>9877</v>
      </c>
      <c r="E861" s="35">
        <f>E860</f>
        <v>0</v>
      </c>
      <c r="F861" s="35">
        <f t="shared" ref="F861:P861" si="640">F860</f>
        <v>0</v>
      </c>
      <c r="G861" s="35">
        <f t="shared" si="640"/>
        <v>0</v>
      </c>
      <c r="H861" s="35">
        <f t="shared" si="640"/>
        <v>0</v>
      </c>
      <c r="I861" s="35">
        <f t="shared" si="640"/>
        <v>0</v>
      </c>
      <c r="J861" s="35">
        <f t="shared" si="640"/>
        <v>0</v>
      </c>
      <c r="K861" s="35">
        <f t="shared" si="640"/>
        <v>7659.75</v>
      </c>
      <c r="L861" s="35">
        <f t="shared" si="640"/>
        <v>0</v>
      </c>
      <c r="M861" s="35">
        <f t="shared" si="640"/>
        <v>7659.75</v>
      </c>
      <c r="N861" s="35">
        <f t="shared" si="640"/>
        <v>7659.75</v>
      </c>
      <c r="O861" s="35">
        <f t="shared" si="640"/>
        <v>0</v>
      </c>
      <c r="P861" s="35">
        <f t="shared" si="640"/>
        <v>7659.75</v>
      </c>
    </row>
    <row r="862" spans="1:21" x14ac:dyDescent="0.25">
      <c r="C862" s="104"/>
      <c r="D862" s="100"/>
      <c r="E862" s="34"/>
      <c r="F862" s="34"/>
      <c r="G862" s="34">
        <f t="shared" si="635"/>
        <v>0</v>
      </c>
      <c r="H862" s="34"/>
      <c r="I862" s="34"/>
      <c r="J862" s="34">
        <f t="shared" si="633"/>
        <v>0</v>
      </c>
      <c r="K862" s="34"/>
      <c r="L862" s="34"/>
      <c r="M862" s="34">
        <f t="shared" si="634"/>
        <v>0</v>
      </c>
      <c r="N862" s="34">
        <f t="shared" si="636"/>
        <v>0</v>
      </c>
      <c r="O862" s="34">
        <f t="shared" si="637"/>
        <v>0</v>
      </c>
      <c r="P862" s="34"/>
    </row>
    <row r="863" spans="1:21" x14ac:dyDescent="0.25">
      <c r="A863" s="9" t="s">
        <v>458</v>
      </c>
      <c r="B863" s="12" t="str">
        <f>LEFT(A863,5)</f>
        <v>48.15</v>
      </c>
      <c r="C863" s="103">
        <f t="shared" ref="C863:D863" si="641">C861</f>
        <v>21044</v>
      </c>
      <c r="D863" s="99">
        <f t="shared" si="641"/>
        <v>9877</v>
      </c>
      <c r="E863" s="35">
        <f>E861</f>
        <v>0</v>
      </c>
      <c r="F863" s="35">
        <f t="shared" ref="F863:P863" si="642">F861</f>
        <v>0</v>
      </c>
      <c r="G863" s="35">
        <f t="shared" si="642"/>
        <v>0</v>
      </c>
      <c r="H863" s="35">
        <f t="shared" si="642"/>
        <v>0</v>
      </c>
      <c r="I863" s="35">
        <f t="shared" si="642"/>
        <v>0</v>
      </c>
      <c r="J863" s="35">
        <f t="shared" si="642"/>
        <v>0</v>
      </c>
      <c r="K863" s="35">
        <f t="shared" si="642"/>
        <v>7659.75</v>
      </c>
      <c r="L863" s="35">
        <f t="shared" si="642"/>
        <v>0</v>
      </c>
      <c r="M863" s="35">
        <f t="shared" si="642"/>
        <v>7659.75</v>
      </c>
      <c r="N863" s="35">
        <f t="shared" si="642"/>
        <v>7659.75</v>
      </c>
      <c r="O863" s="35">
        <f t="shared" si="642"/>
        <v>0</v>
      </c>
      <c r="P863" s="35">
        <f t="shared" si="642"/>
        <v>7659.75</v>
      </c>
    </row>
    <row r="864" spans="1:21" x14ac:dyDescent="0.25">
      <c r="C864" s="104"/>
      <c r="D864" s="100"/>
      <c r="E864" s="34"/>
      <c r="F864" s="34"/>
      <c r="G864" s="34">
        <f t="shared" si="635"/>
        <v>0</v>
      </c>
      <c r="H864" s="34"/>
      <c r="I864" s="34"/>
      <c r="J864" s="34">
        <f t="shared" si="633"/>
        <v>0</v>
      </c>
      <c r="K864" s="34"/>
      <c r="L864" s="34"/>
      <c r="M864" s="34">
        <f t="shared" si="634"/>
        <v>0</v>
      </c>
      <c r="N864" s="34">
        <f t="shared" si="636"/>
        <v>0</v>
      </c>
      <c r="O864" s="34">
        <f t="shared" si="637"/>
        <v>0</v>
      </c>
      <c r="P864" s="34"/>
      <c r="R864" s="86"/>
      <c r="S864" s="86"/>
      <c r="T864" s="86"/>
      <c r="U864" s="86"/>
    </row>
    <row r="865" spans="1:21" x14ac:dyDescent="0.25">
      <c r="A865" s="8" t="s">
        <v>459</v>
      </c>
      <c r="B865" s="4" t="str">
        <f>LEFT(A865,4)</f>
        <v>5060</v>
      </c>
      <c r="C865" s="108">
        <v>5000</v>
      </c>
      <c r="D865" s="100">
        <v>800</v>
      </c>
      <c r="E865" s="34"/>
      <c r="F865" s="34"/>
      <c r="G865" s="34">
        <f t="shared" si="635"/>
        <v>0</v>
      </c>
      <c r="H865" s="34"/>
      <c r="I865" s="34"/>
      <c r="J865" s="34">
        <f t="shared" si="633"/>
        <v>0</v>
      </c>
      <c r="K865" s="34">
        <f>VLOOKUP($B865,Arena_Sage!$A$5:$D$189,3,0)</f>
        <v>4059.65</v>
      </c>
      <c r="L865" s="34">
        <f>VLOOKUP($B865,Arena_Sage!$A$5:$D$189,4,0)</f>
        <v>0</v>
      </c>
      <c r="M865" s="34">
        <f t="shared" si="634"/>
        <v>4059.65</v>
      </c>
      <c r="N865" s="34">
        <f t="shared" si="636"/>
        <v>4059.65</v>
      </c>
      <c r="O865" s="34">
        <f t="shared" si="637"/>
        <v>0</v>
      </c>
      <c r="P865" s="34">
        <f t="shared" si="638"/>
        <v>4059.65</v>
      </c>
      <c r="R865" s="86" t="s">
        <v>2239</v>
      </c>
      <c r="S865" s="86"/>
      <c r="T865" s="86" t="s">
        <v>2241</v>
      </c>
      <c r="U865" s="86"/>
    </row>
    <row r="866" spans="1:21" x14ac:dyDescent="0.25">
      <c r="A866" s="8" t="s">
        <v>12</v>
      </c>
      <c r="C866" s="103">
        <f t="shared" ref="C866:D866" si="643">C865</f>
        <v>5000</v>
      </c>
      <c r="D866" s="99">
        <f t="shared" si="643"/>
        <v>800</v>
      </c>
      <c r="E866" s="35">
        <f>E865</f>
        <v>0</v>
      </c>
      <c r="F866" s="35">
        <f t="shared" ref="F866:P866" si="644">F865</f>
        <v>0</v>
      </c>
      <c r="G866" s="35">
        <f t="shared" si="644"/>
        <v>0</v>
      </c>
      <c r="H866" s="35">
        <f t="shared" si="644"/>
        <v>0</v>
      </c>
      <c r="I866" s="35">
        <f t="shared" si="644"/>
        <v>0</v>
      </c>
      <c r="J866" s="35">
        <f t="shared" si="644"/>
        <v>0</v>
      </c>
      <c r="K866" s="35">
        <f t="shared" si="644"/>
        <v>4059.65</v>
      </c>
      <c r="L866" s="35">
        <f t="shared" si="644"/>
        <v>0</v>
      </c>
      <c r="M866" s="35">
        <f t="shared" si="644"/>
        <v>4059.65</v>
      </c>
      <c r="N866" s="35">
        <f t="shared" si="644"/>
        <v>4059.65</v>
      </c>
      <c r="O866" s="35">
        <f t="shared" si="644"/>
        <v>0</v>
      </c>
      <c r="P866" s="35">
        <f t="shared" si="644"/>
        <v>4059.65</v>
      </c>
      <c r="R866" s="86"/>
      <c r="S866" s="86" t="s">
        <v>2240</v>
      </c>
      <c r="T866" s="86"/>
      <c r="U866" s="86"/>
    </row>
    <row r="867" spans="1:21" x14ac:dyDescent="0.25">
      <c r="C867" s="104"/>
      <c r="D867" s="100"/>
      <c r="E867" s="34"/>
      <c r="F867" s="34"/>
      <c r="G867" s="34">
        <f t="shared" si="635"/>
        <v>0</v>
      </c>
      <c r="H867" s="34"/>
      <c r="I867" s="34"/>
      <c r="J867" s="34">
        <f t="shared" si="633"/>
        <v>0</v>
      </c>
      <c r="K867" s="34"/>
      <c r="L867" s="34"/>
      <c r="M867" s="34">
        <f t="shared" si="634"/>
        <v>0</v>
      </c>
      <c r="N867" s="34">
        <f t="shared" si="636"/>
        <v>0</v>
      </c>
      <c r="O867" s="34">
        <f t="shared" si="637"/>
        <v>0</v>
      </c>
      <c r="P867" s="34"/>
    </row>
    <row r="868" spans="1:21" x14ac:dyDescent="0.25">
      <c r="A868" s="9" t="s">
        <v>460</v>
      </c>
      <c r="B868" s="12" t="str">
        <f>LEFT(A868,5)</f>
        <v>48.16</v>
      </c>
      <c r="C868" s="103">
        <f t="shared" ref="C868:D868" si="645">C866</f>
        <v>5000</v>
      </c>
      <c r="D868" s="99">
        <f t="shared" si="645"/>
        <v>800</v>
      </c>
      <c r="E868" s="35">
        <f>E866</f>
        <v>0</v>
      </c>
      <c r="F868" s="35">
        <f t="shared" ref="F868:P868" si="646">F866</f>
        <v>0</v>
      </c>
      <c r="G868" s="35">
        <f t="shared" si="646"/>
        <v>0</v>
      </c>
      <c r="H868" s="35">
        <f t="shared" si="646"/>
        <v>0</v>
      </c>
      <c r="I868" s="35">
        <f t="shared" si="646"/>
        <v>0</v>
      </c>
      <c r="J868" s="35">
        <f t="shared" si="646"/>
        <v>0</v>
      </c>
      <c r="K868" s="35">
        <f t="shared" si="646"/>
        <v>4059.65</v>
      </c>
      <c r="L868" s="35">
        <f t="shared" si="646"/>
        <v>0</v>
      </c>
      <c r="M868" s="35">
        <f t="shared" si="646"/>
        <v>4059.65</v>
      </c>
      <c r="N868" s="35">
        <f t="shared" si="646"/>
        <v>4059.65</v>
      </c>
      <c r="O868" s="35">
        <f t="shared" si="646"/>
        <v>0</v>
      </c>
      <c r="P868" s="35">
        <f t="shared" si="646"/>
        <v>4059.65</v>
      </c>
    </row>
    <row r="869" spans="1:21" x14ac:dyDescent="0.25">
      <c r="C869" s="104"/>
      <c r="D869" s="100"/>
      <c r="E869" s="34"/>
      <c r="F869" s="34"/>
      <c r="G869" s="34">
        <f t="shared" si="635"/>
        <v>0</v>
      </c>
      <c r="H869" s="34"/>
      <c r="I869" s="34"/>
      <c r="J869" s="34">
        <f t="shared" si="633"/>
        <v>0</v>
      </c>
      <c r="K869" s="34"/>
      <c r="L869" s="34"/>
      <c r="M869" s="34">
        <f t="shared" si="634"/>
        <v>0</v>
      </c>
      <c r="N869" s="34">
        <f t="shared" si="636"/>
        <v>0</v>
      </c>
      <c r="O869" s="34">
        <f t="shared" si="637"/>
        <v>0</v>
      </c>
      <c r="P869" s="34"/>
    </row>
    <row r="870" spans="1:21" x14ac:dyDescent="0.25">
      <c r="A870" s="8" t="s">
        <v>461</v>
      </c>
      <c r="B870" s="4" t="str">
        <f>LEFT(A870,4)</f>
        <v>5037</v>
      </c>
      <c r="C870" s="104">
        <v>1000</v>
      </c>
      <c r="D870" s="100"/>
      <c r="E870" s="34"/>
      <c r="F870" s="34"/>
      <c r="G870" s="34">
        <f t="shared" si="635"/>
        <v>0</v>
      </c>
      <c r="H870" s="34"/>
      <c r="I870" s="34"/>
      <c r="J870" s="34">
        <f t="shared" si="633"/>
        <v>0</v>
      </c>
      <c r="K870" s="34">
        <f>VLOOKUP($B870,Arena_Sage!$A$5:$D$189,3,0)</f>
        <v>828.35</v>
      </c>
      <c r="L870" s="34">
        <f>VLOOKUP($B870,Arena_Sage!$A$5:$D$189,4,0)</f>
        <v>0</v>
      </c>
      <c r="M870" s="34">
        <f t="shared" si="634"/>
        <v>828.35</v>
      </c>
      <c r="N870" s="34">
        <f t="shared" si="636"/>
        <v>828.35</v>
      </c>
      <c r="O870" s="34">
        <f t="shared" si="637"/>
        <v>0</v>
      </c>
      <c r="P870" s="34">
        <f t="shared" si="638"/>
        <v>828.35</v>
      </c>
      <c r="R870" s="86" t="s">
        <v>2242</v>
      </c>
    </row>
    <row r="871" spans="1:21" x14ac:dyDescent="0.25">
      <c r="A871" s="8" t="s">
        <v>462</v>
      </c>
      <c r="B871" s="4" t="str">
        <f>LEFT(A871,4)</f>
        <v>5081</v>
      </c>
      <c r="C871" s="104">
        <v>10500</v>
      </c>
      <c r="D871" s="100">
        <v>3200</v>
      </c>
      <c r="E871" s="34"/>
      <c r="F871" s="34"/>
      <c r="G871" s="34">
        <f t="shared" si="635"/>
        <v>0</v>
      </c>
      <c r="H871" s="34"/>
      <c r="I871" s="34"/>
      <c r="J871" s="34">
        <f t="shared" si="633"/>
        <v>0</v>
      </c>
      <c r="K871" s="34">
        <f>VLOOKUP($B871,Arena_Sage!$A$5:$D$189,3,0)</f>
        <v>7291.25</v>
      </c>
      <c r="L871" s="34">
        <f>VLOOKUP($B871,Arena_Sage!$A$5:$D$189,4,0)</f>
        <v>0</v>
      </c>
      <c r="M871" s="34">
        <f t="shared" si="634"/>
        <v>7291.25</v>
      </c>
      <c r="N871" s="34">
        <f t="shared" si="636"/>
        <v>7291.25</v>
      </c>
      <c r="O871" s="34">
        <f t="shared" si="637"/>
        <v>0</v>
      </c>
      <c r="P871" s="34">
        <f t="shared" si="638"/>
        <v>7291.25</v>
      </c>
      <c r="R871" s="4">
        <v>10500</v>
      </c>
      <c r="S871" s="98">
        <f>R871-P871</f>
        <v>3208.75</v>
      </c>
    </row>
    <row r="872" spans="1:21" x14ac:dyDescent="0.25">
      <c r="A872" s="8" t="s">
        <v>12</v>
      </c>
      <c r="C872" s="103">
        <f t="shared" ref="C872:D872" si="647">SUM(C870:C871)</f>
        <v>11500</v>
      </c>
      <c r="D872" s="99">
        <f t="shared" si="647"/>
        <v>3200</v>
      </c>
      <c r="E872" s="35">
        <f>SUM(E870:E871)</f>
        <v>0</v>
      </c>
      <c r="F872" s="35">
        <f t="shared" ref="F872:P872" si="648">SUM(F870:F871)</f>
        <v>0</v>
      </c>
      <c r="G872" s="35">
        <f t="shared" si="648"/>
        <v>0</v>
      </c>
      <c r="H872" s="35">
        <f t="shared" si="648"/>
        <v>0</v>
      </c>
      <c r="I872" s="35">
        <f t="shared" si="648"/>
        <v>0</v>
      </c>
      <c r="J872" s="35">
        <f t="shared" si="648"/>
        <v>0</v>
      </c>
      <c r="K872" s="35">
        <f t="shared" si="648"/>
        <v>8119.6</v>
      </c>
      <c r="L872" s="35">
        <f t="shared" si="648"/>
        <v>0</v>
      </c>
      <c r="M872" s="35">
        <f t="shared" si="648"/>
        <v>8119.6</v>
      </c>
      <c r="N872" s="35">
        <f t="shared" si="648"/>
        <v>8119.6</v>
      </c>
      <c r="O872" s="35">
        <f t="shared" si="648"/>
        <v>0</v>
      </c>
      <c r="P872" s="35">
        <f t="shared" si="648"/>
        <v>8119.6</v>
      </c>
    </row>
    <row r="873" spans="1:21" x14ac:dyDescent="0.25">
      <c r="C873" s="104"/>
      <c r="D873" s="100"/>
      <c r="E873" s="34"/>
      <c r="F873" s="34"/>
      <c r="G873" s="34">
        <f t="shared" si="635"/>
        <v>0</v>
      </c>
      <c r="H873" s="34"/>
      <c r="I873" s="34"/>
      <c r="J873" s="34">
        <f t="shared" si="633"/>
        <v>0</v>
      </c>
      <c r="K873" s="34"/>
      <c r="L873" s="34"/>
      <c r="M873" s="34">
        <f t="shared" si="634"/>
        <v>0</v>
      </c>
      <c r="N873" s="34">
        <f t="shared" si="636"/>
        <v>0</v>
      </c>
      <c r="O873" s="34">
        <f t="shared" si="637"/>
        <v>0</v>
      </c>
      <c r="P873" s="34"/>
    </row>
    <row r="874" spans="1:21" x14ac:dyDescent="0.25">
      <c r="A874" s="9" t="s">
        <v>463</v>
      </c>
      <c r="B874" s="12" t="str">
        <f>LEFT(A874,5)</f>
        <v>48.19</v>
      </c>
      <c r="C874" s="103">
        <f t="shared" ref="C874:D874" si="649">C872</f>
        <v>11500</v>
      </c>
      <c r="D874" s="99">
        <f t="shared" si="649"/>
        <v>3200</v>
      </c>
      <c r="E874" s="35">
        <f>E872</f>
        <v>0</v>
      </c>
      <c r="F874" s="35">
        <f t="shared" ref="F874:P874" si="650">F872</f>
        <v>0</v>
      </c>
      <c r="G874" s="35">
        <f t="shared" si="650"/>
        <v>0</v>
      </c>
      <c r="H874" s="35">
        <f t="shared" si="650"/>
        <v>0</v>
      </c>
      <c r="I874" s="35">
        <f t="shared" si="650"/>
        <v>0</v>
      </c>
      <c r="J874" s="35">
        <f t="shared" si="650"/>
        <v>0</v>
      </c>
      <c r="K874" s="35">
        <f t="shared" si="650"/>
        <v>8119.6</v>
      </c>
      <c r="L874" s="35">
        <f t="shared" si="650"/>
        <v>0</v>
      </c>
      <c r="M874" s="35">
        <f t="shared" si="650"/>
        <v>8119.6</v>
      </c>
      <c r="N874" s="35">
        <f t="shared" si="650"/>
        <v>8119.6</v>
      </c>
      <c r="O874" s="35">
        <f t="shared" si="650"/>
        <v>0</v>
      </c>
      <c r="P874" s="35">
        <f t="shared" si="650"/>
        <v>8119.6</v>
      </c>
    </row>
    <row r="875" spans="1:21" x14ac:dyDescent="0.25">
      <c r="C875" s="104"/>
      <c r="D875" s="100"/>
      <c r="E875" s="34"/>
      <c r="F875" s="34"/>
      <c r="G875" s="34">
        <f t="shared" si="635"/>
        <v>0</v>
      </c>
      <c r="H875" s="34"/>
      <c r="I875" s="34"/>
      <c r="J875" s="34">
        <f t="shared" si="633"/>
        <v>0</v>
      </c>
      <c r="K875" s="34"/>
      <c r="L875" s="34"/>
      <c r="M875" s="34">
        <f t="shared" si="634"/>
        <v>0</v>
      </c>
      <c r="N875" s="34">
        <f t="shared" si="636"/>
        <v>0</v>
      </c>
      <c r="O875" s="34">
        <f t="shared" si="637"/>
        <v>0</v>
      </c>
      <c r="P875" s="34"/>
    </row>
    <row r="876" spans="1:21" x14ac:dyDescent="0.25">
      <c r="A876" s="8" t="s">
        <v>464</v>
      </c>
      <c r="B876" s="4" t="str">
        <f>LEFT(A876,4)</f>
        <v>5055</v>
      </c>
      <c r="C876" s="104">
        <v>0</v>
      </c>
      <c r="D876" s="100">
        <v>0</v>
      </c>
      <c r="E876" s="34"/>
      <c r="F876" s="34"/>
      <c r="G876" s="34">
        <f t="shared" si="635"/>
        <v>0</v>
      </c>
      <c r="H876" s="34"/>
      <c r="I876" s="34"/>
      <c r="J876" s="34">
        <f t="shared" si="633"/>
        <v>0</v>
      </c>
      <c r="K876" s="34">
        <f>VLOOKUP($B876,Arena_Sage!$A$5:$D$189,3,0)</f>
        <v>0</v>
      </c>
      <c r="L876" s="34">
        <f>VLOOKUP($B876,Arena_Sage!$A$5:$D$189,4,0)</f>
        <v>0</v>
      </c>
      <c r="M876" s="34">
        <f t="shared" si="634"/>
        <v>0</v>
      </c>
      <c r="N876" s="34">
        <f t="shared" si="636"/>
        <v>0</v>
      </c>
      <c r="O876" s="34">
        <f t="shared" si="637"/>
        <v>0</v>
      </c>
      <c r="P876" s="34">
        <f t="shared" si="638"/>
        <v>0</v>
      </c>
    </row>
    <row r="877" spans="1:21" x14ac:dyDescent="0.25">
      <c r="A877" s="8" t="s">
        <v>12</v>
      </c>
      <c r="C877" s="103">
        <f t="shared" ref="C877:D877" si="651">C876</f>
        <v>0</v>
      </c>
      <c r="D877" s="99">
        <f t="shared" si="651"/>
        <v>0</v>
      </c>
      <c r="E877" s="35">
        <f>E876</f>
        <v>0</v>
      </c>
      <c r="F877" s="35">
        <f t="shared" ref="F877:P877" si="652">F876</f>
        <v>0</v>
      </c>
      <c r="G877" s="35">
        <f t="shared" si="652"/>
        <v>0</v>
      </c>
      <c r="H877" s="35">
        <f t="shared" si="652"/>
        <v>0</v>
      </c>
      <c r="I877" s="35">
        <f t="shared" si="652"/>
        <v>0</v>
      </c>
      <c r="J877" s="35">
        <f t="shared" si="652"/>
        <v>0</v>
      </c>
      <c r="K877" s="35">
        <f t="shared" si="652"/>
        <v>0</v>
      </c>
      <c r="L877" s="35">
        <f t="shared" si="652"/>
        <v>0</v>
      </c>
      <c r="M877" s="35">
        <f t="shared" si="652"/>
        <v>0</v>
      </c>
      <c r="N877" s="35">
        <f t="shared" si="652"/>
        <v>0</v>
      </c>
      <c r="O877" s="35">
        <f t="shared" si="652"/>
        <v>0</v>
      </c>
      <c r="P877" s="35">
        <f t="shared" si="652"/>
        <v>0</v>
      </c>
    </row>
    <row r="878" spans="1:21" x14ac:dyDescent="0.25">
      <c r="C878" s="104"/>
      <c r="D878" s="100"/>
      <c r="E878" s="34"/>
      <c r="F878" s="34"/>
      <c r="G878" s="34">
        <f t="shared" si="635"/>
        <v>0</v>
      </c>
      <c r="H878" s="34"/>
      <c r="I878" s="34"/>
      <c r="J878" s="34">
        <f t="shared" si="633"/>
        <v>0</v>
      </c>
      <c r="K878" s="34"/>
      <c r="L878" s="34"/>
      <c r="M878" s="34">
        <f t="shared" si="634"/>
        <v>0</v>
      </c>
      <c r="N878" s="34">
        <f t="shared" si="636"/>
        <v>0</v>
      </c>
      <c r="O878" s="34">
        <f t="shared" si="637"/>
        <v>0</v>
      </c>
      <c r="P878" s="34"/>
    </row>
    <row r="879" spans="1:21" x14ac:dyDescent="0.25">
      <c r="A879" s="9" t="s">
        <v>465</v>
      </c>
      <c r="B879" s="12" t="str">
        <f>LEFT(A879,5)</f>
        <v>48.20</v>
      </c>
      <c r="C879" s="103">
        <f t="shared" ref="C879:D879" si="653">C877</f>
        <v>0</v>
      </c>
      <c r="D879" s="99">
        <f t="shared" si="653"/>
        <v>0</v>
      </c>
      <c r="E879" s="35">
        <f>E877</f>
        <v>0</v>
      </c>
      <c r="F879" s="35">
        <f t="shared" ref="F879:P879" si="654">F877</f>
        <v>0</v>
      </c>
      <c r="G879" s="35">
        <f t="shared" si="654"/>
        <v>0</v>
      </c>
      <c r="H879" s="35">
        <f t="shared" si="654"/>
        <v>0</v>
      </c>
      <c r="I879" s="35">
        <f t="shared" si="654"/>
        <v>0</v>
      </c>
      <c r="J879" s="35">
        <f t="shared" si="654"/>
        <v>0</v>
      </c>
      <c r="K879" s="35">
        <f t="shared" si="654"/>
        <v>0</v>
      </c>
      <c r="L879" s="35">
        <f t="shared" si="654"/>
        <v>0</v>
      </c>
      <c r="M879" s="35">
        <f t="shared" si="654"/>
        <v>0</v>
      </c>
      <c r="N879" s="35">
        <f t="shared" si="654"/>
        <v>0</v>
      </c>
      <c r="O879" s="35">
        <f t="shared" si="654"/>
        <v>0</v>
      </c>
      <c r="P879" s="35">
        <f t="shared" si="654"/>
        <v>0</v>
      </c>
    </row>
    <row r="880" spans="1:21" x14ac:dyDescent="0.25">
      <c r="C880" s="104"/>
      <c r="D880" s="100"/>
      <c r="E880" s="34"/>
      <c r="F880" s="34"/>
      <c r="G880" s="34">
        <f t="shared" si="635"/>
        <v>0</v>
      </c>
      <c r="H880" s="34"/>
      <c r="I880" s="34"/>
      <c r="J880" s="34">
        <f t="shared" si="633"/>
        <v>0</v>
      </c>
      <c r="K880" s="34"/>
      <c r="L880" s="34"/>
      <c r="M880" s="34">
        <f t="shared" si="634"/>
        <v>0</v>
      </c>
      <c r="N880" s="34">
        <f t="shared" si="636"/>
        <v>0</v>
      </c>
      <c r="O880" s="34">
        <f t="shared" si="637"/>
        <v>0</v>
      </c>
      <c r="P880" s="34"/>
    </row>
    <row r="881" spans="1:18" x14ac:dyDescent="0.25">
      <c r="A881" s="8" t="s">
        <v>466</v>
      </c>
      <c r="B881" s="4" t="str">
        <f>LEFT(A881,4)</f>
        <v>5048</v>
      </c>
      <c r="C881" s="104">
        <v>40000</v>
      </c>
      <c r="D881" s="100">
        <v>6000</v>
      </c>
      <c r="E881" s="34"/>
      <c r="F881" s="34"/>
      <c r="G881" s="34">
        <f t="shared" si="635"/>
        <v>0</v>
      </c>
      <c r="H881" s="34"/>
      <c r="I881" s="34"/>
      <c r="J881" s="34">
        <f t="shared" si="633"/>
        <v>0</v>
      </c>
      <c r="K881" s="34">
        <f>VLOOKUP($B881,Arena_Sage!$A$5:$D$189,3,0)</f>
        <v>31953.4</v>
      </c>
      <c r="L881" s="34">
        <f>VLOOKUP($B881,Arena_Sage!$A$5:$D$189,4,0)</f>
        <v>0</v>
      </c>
      <c r="M881" s="34">
        <f t="shared" si="634"/>
        <v>31953.4</v>
      </c>
      <c r="N881" s="34">
        <f t="shared" si="636"/>
        <v>31953.4</v>
      </c>
      <c r="O881" s="34">
        <f t="shared" si="637"/>
        <v>0</v>
      </c>
      <c r="P881" s="34">
        <f t="shared" si="638"/>
        <v>31953.4</v>
      </c>
      <c r="R881" s="4" t="s">
        <v>2243</v>
      </c>
    </row>
    <row r="882" spans="1:18" x14ac:dyDescent="0.25">
      <c r="A882" s="8" t="s">
        <v>12</v>
      </c>
      <c r="C882" s="103">
        <f t="shared" ref="C882:D882" si="655">C881</f>
        <v>40000</v>
      </c>
      <c r="D882" s="99">
        <f t="shared" si="655"/>
        <v>6000</v>
      </c>
      <c r="E882" s="35">
        <f>E881</f>
        <v>0</v>
      </c>
      <c r="F882" s="35">
        <f t="shared" ref="F882:P882" si="656">F881</f>
        <v>0</v>
      </c>
      <c r="G882" s="35">
        <f t="shared" si="656"/>
        <v>0</v>
      </c>
      <c r="H882" s="35">
        <f t="shared" si="656"/>
        <v>0</v>
      </c>
      <c r="I882" s="35">
        <f t="shared" si="656"/>
        <v>0</v>
      </c>
      <c r="J882" s="35">
        <f t="shared" si="656"/>
        <v>0</v>
      </c>
      <c r="K882" s="35">
        <f t="shared" si="656"/>
        <v>31953.4</v>
      </c>
      <c r="L882" s="35">
        <f t="shared" si="656"/>
        <v>0</v>
      </c>
      <c r="M882" s="35">
        <f t="shared" si="656"/>
        <v>31953.4</v>
      </c>
      <c r="N882" s="35">
        <f t="shared" si="656"/>
        <v>31953.4</v>
      </c>
      <c r="O882" s="35">
        <f t="shared" si="656"/>
        <v>0</v>
      </c>
      <c r="P882" s="35">
        <f t="shared" si="656"/>
        <v>31953.4</v>
      </c>
    </row>
    <row r="883" spans="1:18" x14ac:dyDescent="0.25">
      <c r="C883" s="104"/>
      <c r="D883" s="100"/>
      <c r="E883" s="34"/>
      <c r="F883" s="34"/>
      <c r="G883" s="34">
        <f t="shared" si="635"/>
        <v>0</v>
      </c>
      <c r="H883" s="34"/>
      <c r="I883" s="34"/>
      <c r="J883" s="34">
        <f t="shared" si="633"/>
        <v>0</v>
      </c>
      <c r="K883" s="34"/>
      <c r="L883" s="34"/>
      <c r="M883" s="34">
        <f t="shared" si="634"/>
        <v>0</v>
      </c>
      <c r="N883" s="34">
        <f t="shared" si="636"/>
        <v>0</v>
      </c>
      <c r="O883" s="34">
        <f t="shared" si="637"/>
        <v>0</v>
      </c>
      <c r="P883" s="34"/>
    </row>
    <row r="884" spans="1:18" x14ac:dyDescent="0.25">
      <c r="A884" s="9" t="s">
        <v>467</v>
      </c>
      <c r="B884" s="12" t="str">
        <f>LEFT(A884,5)</f>
        <v>48.21</v>
      </c>
      <c r="C884" s="103">
        <f t="shared" ref="C884:D884" si="657">C882</f>
        <v>40000</v>
      </c>
      <c r="D884" s="99">
        <f t="shared" si="657"/>
        <v>6000</v>
      </c>
      <c r="E884" s="35">
        <f>E882</f>
        <v>0</v>
      </c>
      <c r="F884" s="35">
        <f t="shared" ref="F884:P884" si="658">F882</f>
        <v>0</v>
      </c>
      <c r="G884" s="35">
        <f t="shared" si="658"/>
        <v>0</v>
      </c>
      <c r="H884" s="35">
        <f t="shared" si="658"/>
        <v>0</v>
      </c>
      <c r="I884" s="35">
        <f t="shared" si="658"/>
        <v>0</v>
      </c>
      <c r="J884" s="35">
        <f t="shared" si="658"/>
        <v>0</v>
      </c>
      <c r="K884" s="35">
        <f t="shared" si="658"/>
        <v>31953.4</v>
      </c>
      <c r="L884" s="35">
        <f t="shared" si="658"/>
        <v>0</v>
      </c>
      <c r="M884" s="35">
        <f t="shared" si="658"/>
        <v>31953.4</v>
      </c>
      <c r="N884" s="35">
        <f t="shared" si="658"/>
        <v>31953.4</v>
      </c>
      <c r="O884" s="35">
        <f t="shared" si="658"/>
        <v>0</v>
      </c>
      <c r="P884" s="35">
        <f t="shared" si="658"/>
        <v>31953.4</v>
      </c>
    </row>
    <row r="885" spans="1:18" x14ac:dyDescent="0.25">
      <c r="C885" s="104"/>
      <c r="D885" s="100"/>
      <c r="E885" s="34"/>
      <c r="F885" s="34"/>
      <c r="G885" s="34">
        <f t="shared" si="635"/>
        <v>0</v>
      </c>
      <c r="H885" s="34"/>
      <c r="I885" s="34"/>
      <c r="J885" s="34">
        <f t="shared" si="633"/>
        <v>0</v>
      </c>
      <c r="K885" s="34"/>
      <c r="L885" s="34"/>
      <c r="M885" s="34">
        <f t="shared" si="634"/>
        <v>0</v>
      </c>
      <c r="N885" s="34">
        <f t="shared" si="636"/>
        <v>0</v>
      </c>
      <c r="O885" s="34">
        <f t="shared" si="637"/>
        <v>0</v>
      </c>
      <c r="P885" s="34"/>
    </row>
    <row r="886" spans="1:18" x14ac:dyDescent="0.25">
      <c r="A886" s="8" t="s">
        <v>468</v>
      </c>
      <c r="B886" s="4" t="str">
        <f t="shared" ref="B886:B891" si="659">LEFT(A886,4)</f>
        <v>5039</v>
      </c>
      <c r="C886" s="104">
        <v>1000</v>
      </c>
      <c r="D886" s="100">
        <v>75</v>
      </c>
      <c r="E886" s="34"/>
      <c r="F886" s="34"/>
      <c r="G886" s="34">
        <f t="shared" si="635"/>
        <v>0</v>
      </c>
      <c r="H886" s="34"/>
      <c r="I886" s="34"/>
      <c r="J886" s="34">
        <f t="shared" si="633"/>
        <v>0</v>
      </c>
      <c r="K886" s="34">
        <f>VLOOKUP($B886,Arena_Sage!$A$5:$D$189,3,0)</f>
        <v>906.51</v>
      </c>
      <c r="L886" s="34">
        <f>VLOOKUP($B886,Arena_Sage!$A$5:$D$189,4,0)</f>
        <v>0</v>
      </c>
      <c r="M886" s="34">
        <f t="shared" si="634"/>
        <v>906.51</v>
      </c>
      <c r="N886" s="34">
        <f t="shared" si="636"/>
        <v>906.51</v>
      </c>
      <c r="O886" s="34">
        <f t="shared" si="637"/>
        <v>0</v>
      </c>
      <c r="P886" s="34">
        <f t="shared" si="638"/>
        <v>906.51</v>
      </c>
    </row>
    <row r="887" spans="1:18" x14ac:dyDescent="0.25">
      <c r="A887" s="8" t="s">
        <v>469</v>
      </c>
      <c r="B887" s="4" t="str">
        <f t="shared" si="659"/>
        <v>5063</v>
      </c>
      <c r="C887" s="104">
        <v>1000</v>
      </c>
      <c r="D887" s="100"/>
      <c r="E887" s="34"/>
      <c r="F887" s="34"/>
      <c r="G887" s="34">
        <f t="shared" si="635"/>
        <v>0</v>
      </c>
      <c r="H887" s="34"/>
      <c r="I887" s="34"/>
      <c r="J887" s="34">
        <f t="shared" si="633"/>
        <v>0</v>
      </c>
      <c r="K887" s="34">
        <f>VLOOKUP($B887,Arena_Sage!$A$5:$D$189,3,0)</f>
        <v>900</v>
      </c>
      <c r="L887" s="34">
        <f>VLOOKUP($B887,Arena_Sage!$A$5:$D$189,4,0)</f>
        <v>0</v>
      </c>
      <c r="M887" s="34">
        <f t="shared" si="634"/>
        <v>900</v>
      </c>
      <c r="N887" s="34">
        <f t="shared" si="636"/>
        <v>900</v>
      </c>
      <c r="O887" s="34">
        <f t="shared" si="637"/>
        <v>0</v>
      </c>
      <c r="P887" s="34">
        <f t="shared" si="638"/>
        <v>900</v>
      </c>
    </row>
    <row r="888" spans="1:18" x14ac:dyDescent="0.25">
      <c r="A888" s="8" t="s">
        <v>470</v>
      </c>
      <c r="B888" s="4" t="str">
        <f t="shared" si="659"/>
        <v>5066</v>
      </c>
      <c r="C888" s="104">
        <v>500</v>
      </c>
      <c r="D888" s="100"/>
      <c r="E888" s="34"/>
      <c r="F888" s="34"/>
      <c r="G888" s="34">
        <f t="shared" si="635"/>
        <v>0</v>
      </c>
      <c r="H888" s="34"/>
      <c r="I888" s="34"/>
      <c r="J888" s="34">
        <f t="shared" si="633"/>
        <v>0</v>
      </c>
      <c r="K888" s="34">
        <f>VLOOKUP($B888,Arena_Sage!$A$5:$D$189,3,0)</f>
        <v>359.06</v>
      </c>
      <c r="L888" s="34">
        <f>VLOOKUP($B888,Arena_Sage!$A$5:$D$189,4,0)</f>
        <v>0</v>
      </c>
      <c r="M888" s="34">
        <f t="shared" si="634"/>
        <v>359.06</v>
      </c>
      <c r="N888" s="34">
        <f t="shared" si="636"/>
        <v>359.06</v>
      </c>
      <c r="O888" s="34">
        <f t="shared" si="637"/>
        <v>0</v>
      </c>
      <c r="P888" s="34">
        <f t="shared" si="638"/>
        <v>359.06</v>
      </c>
    </row>
    <row r="889" spans="1:18" x14ac:dyDescent="0.25">
      <c r="A889" s="8" t="s">
        <v>471</v>
      </c>
      <c r="B889" s="4" t="str">
        <f t="shared" si="659"/>
        <v>5085</v>
      </c>
      <c r="C889" s="104">
        <v>100</v>
      </c>
      <c r="D889" s="100"/>
      <c r="E889" s="34"/>
      <c r="F889" s="34"/>
      <c r="G889" s="34">
        <f t="shared" si="635"/>
        <v>0</v>
      </c>
      <c r="H889" s="34"/>
      <c r="I889" s="34"/>
      <c r="J889" s="34">
        <f t="shared" si="633"/>
        <v>0</v>
      </c>
      <c r="K889" s="34">
        <f>VLOOKUP($B889,Arena_Sage!$A$5:$D$189,3,0)</f>
        <v>75</v>
      </c>
      <c r="L889" s="34">
        <f>VLOOKUP($B889,Arena_Sage!$A$5:$D$189,4,0)</f>
        <v>0</v>
      </c>
      <c r="M889" s="34">
        <f t="shared" si="634"/>
        <v>75</v>
      </c>
      <c r="N889" s="34">
        <f t="shared" si="636"/>
        <v>75</v>
      </c>
      <c r="O889" s="34">
        <f t="shared" si="637"/>
        <v>0</v>
      </c>
      <c r="P889" s="34">
        <f t="shared" si="638"/>
        <v>75</v>
      </c>
    </row>
    <row r="890" spans="1:18" x14ac:dyDescent="0.25">
      <c r="A890" s="8" t="s">
        <v>472</v>
      </c>
      <c r="B890" s="4" t="str">
        <f t="shared" si="659"/>
        <v>5555</v>
      </c>
      <c r="C890" s="104"/>
      <c r="D890" s="100"/>
      <c r="E890" s="34"/>
      <c r="F890" s="34"/>
      <c r="G890" s="34">
        <f t="shared" si="635"/>
        <v>0</v>
      </c>
      <c r="H890" s="34"/>
      <c r="I890" s="34"/>
      <c r="J890" s="34">
        <f t="shared" si="633"/>
        <v>0</v>
      </c>
      <c r="K890" s="34">
        <f>VLOOKUP($B890,Arena_Sage!$A$5:$D$189,3,0)</f>
        <v>0</v>
      </c>
      <c r="L890" s="34">
        <f>VLOOKUP($B890,Arena_Sage!$A$5:$D$189,4,0)</f>
        <v>0</v>
      </c>
      <c r="M890" s="34">
        <f t="shared" si="634"/>
        <v>0</v>
      </c>
      <c r="N890" s="34">
        <f t="shared" si="636"/>
        <v>0</v>
      </c>
      <c r="O890" s="34">
        <f t="shared" si="637"/>
        <v>0</v>
      </c>
      <c r="P890" s="34">
        <f t="shared" si="638"/>
        <v>0</v>
      </c>
    </row>
    <row r="891" spans="1:18" x14ac:dyDescent="0.25">
      <c r="A891" s="8" t="s">
        <v>2067</v>
      </c>
      <c r="B891" s="4" t="str">
        <f t="shared" si="659"/>
        <v>5054</v>
      </c>
      <c r="C891" s="104"/>
      <c r="D891" s="100"/>
      <c r="E891" s="34"/>
      <c r="F891" s="34"/>
      <c r="G891" s="34">
        <f t="shared" si="635"/>
        <v>0</v>
      </c>
      <c r="H891" s="34"/>
      <c r="I891" s="34"/>
      <c r="J891" s="34">
        <f t="shared" si="633"/>
        <v>0</v>
      </c>
      <c r="K891" s="34">
        <f>VLOOKUP($B891,Arena_Sage!$A$5:$D$189,3,0)</f>
        <v>27.32</v>
      </c>
      <c r="L891" s="34">
        <f>VLOOKUP($B891,Arena_Sage!$A$5:$D$189,4,0)</f>
        <v>0</v>
      </c>
      <c r="M891" s="34">
        <f t="shared" ref="M891" si="660">IF(K891&gt;0,K891,-L891)</f>
        <v>27.32</v>
      </c>
      <c r="N891" s="34">
        <f t="shared" ref="N891" si="661">E891+H891+K891</f>
        <v>27.32</v>
      </c>
      <c r="O891" s="34">
        <f t="shared" ref="O891" si="662">F891+I891+L891</f>
        <v>0</v>
      </c>
      <c r="P891" s="34">
        <f t="shared" ref="P891" si="663">IF(N891&gt;0,N891,-O891)</f>
        <v>27.32</v>
      </c>
    </row>
    <row r="892" spans="1:18" x14ac:dyDescent="0.25">
      <c r="A892" s="8" t="s">
        <v>12</v>
      </c>
      <c r="C892" s="103">
        <f t="shared" ref="C892:D892" si="664">SUM(C886:C891)</f>
        <v>2600</v>
      </c>
      <c r="D892" s="99">
        <f t="shared" si="664"/>
        <v>75</v>
      </c>
      <c r="E892" s="35">
        <f>SUM(E886:E891)</f>
        <v>0</v>
      </c>
      <c r="F892" s="35">
        <f t="shared" ref="F892:P892" si="665">SUM(F886:F891)</f>
        <v>0</v>
      </c>
      <c r="G892" s="35">
        <f t="shared" si="665"/>
        <v>0</v>
      </c>
      <c r="H892" s="35">
        <f t="shared" si="665"/>
        <v>0</v>
      </c>
      <c r="I892" s="35">
        <f t="shared" si="665"/>
        <v>0</v>
      </c>
      <c r="J892" s="35">
        <f t="shared" si="665"/>
        <v>0</v>
      </c>
      <c r="K892" s="35">
        <f t="shared" si="665"/>
        <v>2267.8900000000003</v>
      </c>
      <c r="L892" s="35">
        <f t="shared" si="665"/>
        <v>0</v>
      </c>
      <c r="M892" s="35">
        <f t="shared" si="665"/>
        <v>2267.8900000000003</v>
      </c>
      <c r="N892" s="35">
        <f t="shared" si="665"/>
        <v>2267.8900000000003</v>
      </c>
      <c r="O892" s="35">
        <f t="shared" si="665"/>
        <v>0</v>
      </c>
      <c r="P892" s="35">
        <f t="shared" si="665"/>
        <v>2267.8900000000003</v>
      </c>
    </row>
    <row r="893" spans="1:18" x14ac:dyDescent="0.25">
      <c r="C893" s="104"/>
      <c r="D893" s="100"/>
      <c r="E893" s="34"/>
      <c r="F893" s="34"/>
      <c r="G893" s="34">
        <f t="shared" si="635"/>
        <v>0</v>
      </c>
      <c r="H893" s="34"/>
      <c r="I893" s="34"/>
      <c r="J893" s="34">
        <f t="shared" si="633"/>
        <v>0</v>
      </c>
      <c r="K893" s="34"/>
      <c r="L893" s="34"/>
      <c r="M893" s="34">
        <f t="shared" si="634"/>
        <v>0</v>
      </c>
      <c r="N893" s="34">
        <f t="shared" si="636"/>
        <v>0</v>
      </c>
      <c r="O893" s="34">
        <f t="shared" si="637"/>
        <v>0</v>
      </c>
      <c r="P893" s="34"/>
    </row>
    <row r="894" spans="1:18" x14ac:dyDescent="0.25">
      <c r="A894" s="9" t="s">
        <v>473</v>
      </c>
      <c r="B894" s="12" t="str">
        <f>LEFT(A894,5)</f>
        <v>48.24</v>
      </c>
      <c r="C894" s="103">
        <f t="shared" ref="C894:D894" si="666">C892</f>
        <v>2600</v>
      </c>
      <c r="D894" s="99">
        <f t="shared" si="666"/>
        <v>75</v>
      </c>
      <c r="E894" s="35">
        <f>E892</f>
        <v>0</v>
      </c>
      <c r="F894" s="35">
        <f t="shared" ref="F894:P894" si="667">F892</f>
        <v>0</v>
      </c>
      <c r="G894" s="35">
        <f t="shared" si="667"/>
        <v>0</v>
      </c>
      <c r="H894" s="35">
        <f t="shared" si="667"/>
        <v>0</v>
      </c>
      <c r="I894" s="35">
        <f t="shared" si="667"/>
        <v>0</v>
      </c>
      <c r="J894" s="35">
        <f t="shared" si="667"/>
        <v>0</v>
      </c>
      <c r="K894" s="35">
        <f t="shared" si="667"/>
        <v>2267.8900000000003</v>
      </c>
      <c r="L894" s="35">
        <f t="shared" si="667"/>
        <v>0</v>
      </c>
      <c r="M894" s="35">
        <f t="shared" si="667"/>
        <v>2267.8900000000003</v>
      </c>
      <c r="N894" s="35">
        <f t="shared" si="667"/>
        <v>2267.8900000000003</v>
      </c>
      <c r="O894" s="35">
        <f t="shared" si="667"/>
        <v>0</v>
      </c>
      <c r="P894" s="35">
        <f t="shared" si="667"/>
        <v>2267.8900000000003</v>
      </c>
    </row>
    <row r="895" spans="1:18" x14ac:dyDescent="0.25">
      <c r="C895" s="104"/>
      <c r="D895" s="100"/>
      <c r="E895" s="34"/>
      <c r="F895" s="34"/>
      <c r="G895" s="34">
        <f t="shared" si="635"/>
        <v>0</v>
      </c>
      <c r="H895" s="34"/>
      <c r="I895" s="34"/>
      <c r="J895" s="34">
        <f t="shared" si="633"/>
        <v>0</v>
      </c>
      <c r="K895" s="34"/>
      <c r="L895" s="34"/>
      <c r="M895" s="34">
        <f t="shared" si="634"/>
        <v>0</v>
      </c>
      <c r="N895" s="34">
        <f t="shared" si="636"/>
        <v>0</v>
      </c>
      <c r="O895" s="34">
        <f t="shared" si="637"/>
        <v>0</v>
      </c>
      <c r="P895" s="34"/>
    </row>
    <row r="896" spans="1:18" x14ac:dyDescent="0.25">
      <c r="A896" s="8" t="s">
        <v>474</v>
      </c>
      <c r="B896" s="4" t="str">
        <f>LEFT(A896,4)</f>
        <v>5550</v>
      </c>
      <c r="C896" s="104">
        <v>25000</v>
      </c>
      <c r="D896" s="100">
        <v>1800</v>
      </c>
      <c r="E896" s="34"/>
      <c r="F896" s="34"/>
      <c r="G896" s="34">
        <f t="shared" si="635"/>
        <v>0</v>
      </c>
      <c r="H896" s="34"/>
      <c r="I896" s="34"/>
      <c r="J896" s="34">
        <f t="shared" si="633"/>
        <v>0</v>
      </c>
      <c r="K896" s="34">
        <f>VLOOKUP($B896,Arena_Sage!$A$5:$D$189,3,0)</f>
        <v>23292.73</v>
      </c>
      <c r="L896" s="34">
        <f>VLOOKUP($B896,Arena_Sage!$A$5:$D$189,4,0)</f>
        <v>0</v>
      </c>
      <c r="M896" s="34">
        <f t="shared" si="634"/>
        <v>23292.73</v>
      </c>
      <c r="N896" s="34">
        <f t="shared" si="636"/>
        <v>23292.73</v>
      </c>
      <c r="O896" s="34">
        <f t="shared" si="637"/>
        <v>0</v>
      </c>
      <c r="P896" s="34">
        <f t="shared" si="638"/>
        <v>23292.73</v>
      </c>
    </row>
    <row r="897" spans="1:18" x14ac:dyDescent="0.25">
      <c r="A897" s="8" t="s">
        <v>475</v>
      </c>
      <c r="B897" s="4" t="str">
        <f>LEFT(A897,4)</f>
        <v>5570</v>
      </c>
      <c r="C897" s="104"/>
      <c r="D897" s="100"/>
      <c r="E897" s="34"/>
      <c r="F897" s="34"/>
      <c r="G897" s="34">
        <f t="shared" si="635"/>
        <v>0</v>
      </c>
      <c r="H897" s="34"/>
      <c r="I897" s="34"/>
      <c r="J897" s="34">
        <f t="shared" si="633"/>
        <v>0</v>
      </c>
      <c r="K897" s="34">
        <f>VLOOKUP($B897,Arena_Sage!$A$5:$D$189,3,0)</f>
        <v>10.58</v>
      </c>
      <c r="L897" s="34">
        <f>VLOOKUP($B897,Arena_Sage!$A$5:$D$189,4,0)</f>
        <v>0</v>
      </c>
      <c r="M897" s="34">
        <f t="shared" si="634"/>
        <v>10.58</v>
      </c>
      <c r="N897" s="34">
        <f t="shared" si="636"/>
        <v>10.58</v>
      </c>
      <c r="O897" s="34">
        <f t="shared" si="637"/>
        <v>0</v>
      </c>
      <c r="P897" s="34">
        <f t="shared" si="638"/>
        <v>10.58</v>
      </c>
    </row>
    <row r="898" spans="1:18" x14ac:dyDescent="0.25">
      <c r="A898" s="8" t="s">
        <v>12</v>
      </c>
      <c r="C898" s="103">
        <f t="shared" ref="C898:D898" si="668">SUM(C896:C897)</f>
        <v>25000</v>
      </c>
      <c r="D898" s="99">
        <f t="shared" si="668"/>
        <v>1800</v>
      </c>
      <c r="E898" s="35">
        <f>SUM(E896:E897)</f>
        <v>0</v>
      </c>
      <c r="F898" s="35">
        <f t="shared" ref="F898:P898" si="669">SUM(F896:F897)</f>
        <v>0</v>
      </c>
      <c r="G898" s="35">
        <f t="shared" si="669"/>
        <v>0</v>
      </c>
      <c r="H898" s="35">
        <f t="shared" si="669"/>
        <v>0</v>
      </c>
      <c r="I898" s="35">
        <f t="shared" si="669"/>
        <v>0</v>
      </c>
      <c r="J898" s="35">
        <f t="shared" si="669"/>
        <v>0</v>
      </c>
      <c r="K898" s="35">
        <f t="shared" si="669"/>
        <v>23303.31</v>
      </c>
      <c r="L898" s="35">
        <f t="shared" si="669"/>
        <v>0</v>
      </c>
      <c r="M898" s="35">
        <f t="shared" si="669"/>
        <v>23303.31</v>
      </c>
      <c r="N898" s="35">
        <f t="shared" si="669"/>
        <v>23303.31</v>
      </c>
      <c r="O898" s="35">
        <f t="shared" si="669"/>
        <v>0</v>
      </c>
      <c r="P898" s="35">
        <f t="shared" si="669"/>
        <v>23303.31</v>
      </c>
    </row>
    <row r="899" spans="1:18" x14ac:dyDescent="0.25">
      <c r="C899" s="104"/>
      <c r="D899" s="100"/>
      <c r="E899" s="34"/>
      <c r="F899" s="34"/>
      <c r="G899" s="34">
        <f t="shared" si="635"/>
        <v>0</v>
      </c>
      <c r="H899" s="34"/>
      <c r="I899" s="34"/>
      <c r="J899" s="34">
        <f t="shared" si="633"/>
        <v>0</v>
      </c>
      <c r="K899" s="34"/>
      <c r="L899" s="34"/>
      <c r="M899" s="34">
        <f t="shared" si="634"/>
        <v>0</v>
      </c>
      <c r="N899" s="34">
        <f t="shared" si="636"/>
        <v>0</v>
      </c>
      <c r="O899" s="34">
        <f t="shared" si="637"/>
        <v>0</v>
      </c>
      <c r="P899" s="34"/>
    </row>
    <row r="900" spans="1:18" x14ac:dyDescent="0.25">
      <c r="A900" s="9" t="s">
        <v>476</v>
      </c>
      <c r="B900" s="12" t="str">
        <f>LEFT(A900,5)</f>
        <v>48.28</v>
      </c>
      <c r="C900" s="103">
        <f t="shared" ref="C900:D900" si="670">C898</f>
        <v>25000</v>
      </c>
      <c r="D900" s="99">
        <f t="shared" si="670"/>
        <v>1800</v>
      </c>
      <c r="E900" s="35">
        <f>E898</f>
        <v>0</v>
      </c>
      <c r="F900" s="35">
        <f t="shared" ref="F900:P900" si="671">F898</f>
        <v>0</v>
      </c>
      <c r="G900" s="35">
        <f t="shared" si="671"/>
        <v>0</v>
      </c>
      <c r="H900" s="35">
        <f t="shared" si="671"/>
        <v>0</v>
      </c>
      <c r="I900" s="35">
        <f t="shared" si="671"/>
        <v>0</v>
      </c>
      <c r="J900" s="35">
        <f t="shared" si="671"/>
        <v>0</v>
      </c>
      <c r="K900" s="35">
        <f t="shared" si="671"/>
        <v>23303.31</v>
      </c>
      <c r="L900" s="35">
        <f t="shared" si="671"/>
        <v>0</v>
      </c>
      <c r="M900" s="35">
        <f t="shared" si="671"/>
        <v>23303.31</v>
      </c>
      <c r="N900" s="35">
        <f t="shared" si="671"/>
        <v>23303.31</v>
      </c>
      <c r="O900" s="35">
        <f t="shared" si="671"/>
        <v>0</v>
      </c>
      <c r="P900" s="35">
        <f t="shared" si="671"/>
        <v>23303.31</v>
      </c>
    </row>
    <row r="901" spans="1:18" x14ac:dyDescent="0.25">
      <c r="C901" s="104"/>
      <c r="D901" s="100"/>
      <c r="E901" s="34"/>
      <c r="F901" s="34"/>
      <c r="G901" s="34">
        <f t="shared" si="635"/>
        <v>0</v>
      </c>
      <c r="H901" s="34"/>
      <c r="I901" s="34"/>
      <c r="J901" s="34">
        <f t="shared" si="633"/>
        <v>0</v>
      </c>
      <c r="K901" s="34"/>
      <c r="L901" s="34"/>
      <c r="M901" s="34">
        <f t="shared" si="634"/>
        <v>0</v>
      </c>
      <c r="N901" s="34">
        <f t="shared" si="636"/>
        <v>0</v>
      </c>
      <c r="O901" s="34">
        <f t="shared" si="637"/>
        <v>0</v>
      </c>
      <c r="P901" s="34"/>
    </row>
    <row r="902" spans="1:18" x14ac:dyDescent="0.25">
      <c r="A902" s="8" t="s">
        <v>477</v>
      </c>
      <c r="B902" s="4" t="str">
        <f>LEFT(A902,4)</f>
        <v>5057</v>
      </c>
      <c r="C902" s="108">
        <v>15000</v>
      </c>
      <c r="D902" s="100">
        <v>2000</v>
      </c>
      <c r="E902" s="34"/>
      <c r="F902" s="34"/>
      <c r="G902" s="34">
        <f t="shared" si="635"/>
        <v>0</v>
      </c>
      <c r="H902" s="34"/>
      <c r="I902" s="34"/>
      <c r="J902" s="34">
        <f t="shared" si="633"/>
        <v>0</v>
      </c>
      <c r="K902" s="34">
        <f>VLOOKUP($B902,Arena_Sage!$A$5:$D$189,3,0)</f>
        <v>11146.61</v>
      </c>
      <c r="L902" s="34">
        <f>VLOOKUP($B902,Arena_Sage!$A$5:$D$189,4,0)</f>
        <v>0</v>
      </c>
      <c r="M902" s="34">
        <f t="shared" si="634"/>
        <v>11146.61</v>
      </c>
      <c r="N902" s="34">
        <f t="shared" si="636"/>
        <v>11146.61</v>
      </c>
      <c r="O902" s="34">
        <f t="shared" si="637"/>
        <v>0</v>
      </c>
      <c r="P902" s="34">
        <f t="shared" si="638"/>
        <v>11146.61</v>
      </c>
    </row>
    <row r="903" spans="1:18" x14ac:dyDescent="0.25">
      <c r="A903" s="8" t="s">
        <v>478</v>
      </c>
      <c r="B903" s="4" t="str">
        <f>LEFT(A903,4)</f>
        <v>5560</v>
      </c>
      <c r="C903" s="104">
        <v>1200</v>
      </c>
      <c r="D903" s="100">
        <v>0</v>
      </c>
      <c r="E903" s="34"/>
      <c r="F903" s="34"/>
      <c r="G903" s="34">
        <f t="shared" si="635"/>
        <v>0</v>
      </c>
      <c r="H903" s="34"/>
      <c r="I903" s="34"/>
      <c r="J903" s="34">
        <f t="shared" si="633"/>
        <v>0</v>
      </c>
      <c r="K903" s="34">
        <f>VLOOKUP($B903,Arena_Sage!$A$5:$D$189,3,0)</f>
        <v>971.64</v>
      </c>
      <c r="L903" s="34">
        <f>VLOOKUP($B903,Arena_Sage!$A$5:$D$189,4,0)</f>
        <v>0</v>
      </c>
      <c r="M903" s="34">
        <f t="shared" si="634"/>
        <v>971.64</v>
      </c>
      <c r="N903" s="34">
        <f t="shared" si="636"/>
        <v>971.64</v>
      </c>
      <c r="O903" s="34">
        <f t="shared" si="637"/>
        <v>0</v>
      </c>
      <c r="P903" s="34">
        <f t="shared" si="638"/>
        <v>971.64</v>
      </c>
    </row>
    <row r="904" spans="1:18" x14ac:dyDescent="0.25">
      <c r="A904" s="8" t="s">
        <v>12</v>
      </c>
      <c r="C904" s="103">
        <f t="shared" ref="C904:D904" si="672">SUM(C902:C903)</f>
        <v>16200</v>
      </c>
      <c r="D904" s="99">
        <f t="shared" si="672"/>
        <v>2000</v>
      </c>
      <c r="E904" s="35">
        <f>SUM(E902:E903)</f>
        <v>0</v>
      </c>
      <c r="F904" s="35">
        <f t="shared" ref="F904:P904" si="673">SUM(F902:F903)</f>
        <v>0</v>
      </c>
      <c r="G904" s="35">
        <f t="shared" si="673"/>
        <v>0</v>
      </c>
      <c r="H904" s="35">
        <f t="shared" si="673"/>
        <v>0</v>
      </c>
      <c r="I904" s="35">
        <f t="shared" si="673"/>
        <v>0</v>
      </c>
      <c r="J904" s="35">
        <f t="shared" si="673"/>
        <v>0</v>
      </c>
      <c r="K904" s="35">
        <f t="shared" si="673"/>
        <v>12118.25</v>
      </c>
      <c r="L904" s="35">
        <f t="shared" si="673"/>
        <v>0</v>
      </c>
      <c r="M904" s="35">
        <f t="shared" si="673"/>
        <v>12118.25</v>
      </c>
      <c r="N904" s="35">
        <f t="shared" si="673"/>
        <v>12118.25</v>
      </c>
      <c r="O904" s="35">
        <f t="shared" si="673"/>
        <v>0</v>
      </c>
      <c r="P904" s="35">
        <f t="shared" si="673"/>
        <v>12118.25</v>
      </c>
    </row>
    <row r="905" spans="1:18" x14ac:dyDescent="0.25">
      <c r="C905" s="104"/>
      <c r="D905" s="100"/>
      <c r="E905" s="34"/>
      <c r="F905" s="34"/>
      <c r="G905" s="34">
        <f t="shared" si="635"/>
        <v>0</v>
      </c>
      <c r="H905" s="34"/>
      <c r="I905" s="34"/>
      <c r="J905" s="34">
        <f t="shared" si="633"/>
        <v>0</v>
      </c>
      <c r="K905" s="34"/>
      <c r="L905" s="34"/>
      <c r="M905" s="34">
        <f t="shared" si="634"/>
        <v>0</v>
      </c>
      <c r="N905" s="34">
        <f t="shared" si="636"/>
        <v>0</v>
      </c>
      <c r="O905" s="34">
        <f t="shared" si="637"/>
        <v>0</v>
      </c>
      <c r="P905" s="34"/>
    </row>
    <row r="906" spans="1:18" x14ac:dyDescent="0.25">
      <c r="A906" s="9" t="s">
        <v>479</v>
      </c>
      <c r="B906" s="12" t="str">
        <f>LEFT(A906,5)</f>
        <v>48.29</v>
      </c>
      <c r="C906" s="103">
        <f t="shared" ref="C906:D906" si="674">C904</f>
        <v>16200</v>
      </c>
      <c r="D906" s="99">
        <f t="shared" si="674"/>
        <v>2000</v>
      </c>
      <c r="E906" s="35">
        <f>E904</f>
        <v>0</v>
      </c>
      <c r="F906" s="35">
        <f t="shared" ref="F906:P906" si="675">F904</f>
        <v>0</v>
      </c>
      <c r="G906" s="35">
        <f t="shared" si="675"/>
        <v>0</v>
      </c>
      <c r="H906" s="35">
        <f t="shared" si="675"/>
        <v>0</v>
      </c>
      <c r="I906" s="35">
        <f t="shared" si="675"/>
        <v>0</v>
      </c>
      <c r="J906" s="35">
        <f t="shared" si="675"/>
        <v>0</v>
      </c>
      <c r="K906" s="35">
        <f t="shared" si="675"/>
        <v>12118.25</v>
      </c>
      <c r="L906" s="35">
        <f t="shared" si="675"/>
        <v>0</v>
      </c>
      <c r="M906" s="35">
        <f t="shared" si="675"/>
        <v>12118.25</v>
      </c>
      <c r="N906" s="35">
        <f t="shared" si="675"/>
        <v>12118.25</v>
      </c>
      <c r="O906" s="35">
        <f t="shared" si="675"/>
        <v>0</v>
      </c>
      <c r="P906" s="35">
        <f t="shared" si="675"/>
        <v>12118.25</v>
      </c>
    </row>
    <row r="907" spans="1:18" x14ac:dyDescent="0.25">
      <c r="C907" s="104"/>
      <c r="D907" s="100"/>
      <c r="E907" s="34"/>
      <c r="F907" s="34"/>
      <c r="G907" s="34">
        <f t="shared" si="635"/>
        <v>0</v>
      </c>
      <c r="H907" s="34"/>
      <c r="I907" s="34"/>
      <c r="J907" s="34">
        <f t="shared" si="633"/>
        <v>0</v>
      </c>
      <c r="K907" s="34"/>
      <c r="L907" s="34"/>
      <c r="M907" s="34">
        <f t="shared" si="634"/>
        <v>0</v>
      </c>
      <c r="N907" s="34">
        <f t="shared" si="636"/>
        <v>0</v>
      </c>
      <c r="O907" s="34">
        <f t="shared" si="637"/>
        <v>0</v>
      </c>
      <c r="P907" s="34"/>
    </row>
    <row r="908" spans="1:18" x14ac:dyDescent="0.25">
      <c r="A908" s="8" t="s">
        <v>480</v>
      </c>
      <c r="B908" s="4" t="str">
        <f>LEFT(A908,4)</f>
        <v>5105</v>
      </c>
      <c r="C908" s="108">
        <v>22000</v>
      </c>
      <c r="D908" s="100">
        <v>5000</v>
      </c>
      <c r="E908" s="34"/>
      <c r="F908" s="34"/>
      <c r="G908" s="34">
        <f t="shared" si="635"/>
        <v>0</v>
      </c>
      <c r="H908" s="34"/>
      <c r="I908" s="34"/>
      <c r="J908" s="34">
        <f t="shared" si="633"/>
        <v>0</v>
      </c>
      <c r="K908" s="34">
        <f>VLOOKUP($B908,Arena_Sage!$A$5:$D$189,3,0)</f>
        <v>15070.68</v>
      </c>
      <c r="L908" s="34">
        <f>VLOOKUP($B908,Arena_Sage!$A$5:$D$189,4,0)</f>
        <v>0</v>
      </c>
      <c r="M908" s="34">
        <f t="shared" si="634"/>
        <v>15070.68</v>
      </c>
      <c r="N908" s="34">
        <f t="shared" si="636"/>
        <v>15070.68</v>
      </c>
      <c r="O908" s="34">
        <f t="shared" si="637"/>
        <v>0</v>
      </c>
      <c r="P908" s="34">
        <f t="shared" si="638"/>
        <v>15070.68</v>
      </c>
      <c r="R908" s="86" t="s">
        <v>2244</v>
      </c>
    </row>
    <row r="909" spans="1:18" x14ac:dyDescent="0.25">
      <c r="A909" s="8" t="s">
        <v>12</v>
      </c>
      <c r="C909" s="103">
        <f t="shared" ref="C909:D909" si="676">C908</f>
        <v>22000</v>
      </c>
      <c r="D909" s="99">
        <f t="shared" si="676"/>
        <v>5000</v>
      </c>
      <c r="E909" s="35">
        <f>E908</f>
        <v>0</v>
      </c>
      <c r="F909" s="35">
        <f t="shared" ref="F909:P909" si="677">F908</f>
        <v>0</v>
      </c>
      <c r="G909" s="35">
        <f t="shared" si="677"/>
        <v>0</v>
      </c>
      <c r="H909" s="35">
        <f t="shared" si="677"/>
        <v>0</v>
      </c>
      <c r="I909" s="35">
        <f t="shared" si="677"/>
        <v>0</v>
      </c>
      <c r="J909" s="35">
        <f t="shared" si="677"/>
        <v>0</v>
      </c>
      <c r="K909" s="35">
        <f t="shared" si="677"/>
        <v>15070.68</v>
      </c>
      <c r="L909" s="35">
        <f t="shared" si="677"/>
        <v>0</v>
      </c>
      <c r="M909" s="35">
        <f t="shared" si="677"/>
        <v>15070.68</v>
      </c>
      <c r="N909" s="35">
        <f t="shared" si="677"/>
        <v>15070.68</v>
      </c>
      <c r="O909" s="35">
        <f t="shared" si="677"/>
        <v>0</v>
      </c>
      <c r="P909" s="35">
        <f t="shared" si="677"/>
        <v>15070.68</v>
      </c>
    </row>
    <row r="910" spans="1:18" x14ac:dyDescent="0.25">
      <c r="C910" s="104"/>
      <c r="D910" s="100"/>
      <c r="E910" s="34"/>
      <c r="F910" s="34"/>
      <c r="G910" s="34">
        <f t="shared" si="635"/>
        <v>0</v>
      </c>
      <c r="H910" s="34"/>
      <c r="I910" s="34"/>
      <c r="J910" s="34">
        <f t="shared" si="633"/>
        <v>0</v>
      </c>
      <c r="K910" s="34"/>
      <c r="L910" s="34"/>
      <c r="M910" s="34">
        <f t="shared" si="634"/>
        <v>0</v>
      </c>
      <c r="N910" s="34">
        <f t="shared" si="636"/>
        <v>0</v>
      </c>
      <c r="O910" s="34">
        <f t="shared" si="637"/>
        <v>0</v>
      </c>
      <c r="P910" s="34"/>
    </row>
    <row r="911" spans="1:18" x14ac:dyDescent="0.25">
      <c r="A911" s="9" t="s">
        <v>481</v>
      </c>
      <c r="B911" s="12" t="str">
        <f>LEFT(A911,5)</f>
        <v>48.30</v>
      </c>
      <c r="C911" s="103">
        <f t="shared" ref="C911:D911" si="678">C909</f>
        <v>22000</v>
      </c>
      <c r="D911" s="99">
        <f t="shared" si="678"/>
        <v>5000</v>
      </c>
      <c r="E911" s="35">
        <f>E909</f>
        <v>0</v>
      </c>
      <c r="F911" s="35">
        <f t="shared" ref="F911:P911" si="679">F909</f>
        <v>0</v>
      </c>
      <c r="G911" s="35">
        <f t="shared" si="679"/>
        <v>0</v>
      </c>
      <c r="H911" s="35">
        <f t="shared" si="679"/>
        <v>0</v>
      </c>
      <c r="I911" s="35">
        <f t="shared" si="679"/>
        <v>0</v>
      </c>
      <c r="J911" s="35">
        <f t="shared" si="679"/>
        <v>0</v>
      </c>
      <c r="K911" s="35">
        <f t="shared" si="679"/>
        <v>15070.68</v>
      </c>
      <c r="L911" s="35">
        <f t="shared" si="679"/>
        <v>0</v>
      </c>
      <c r="M911" s="35">
        <f t="shared" si="679"/>
        <v>15070.68</v>
      </c>
      <c r="N911" s="35">
        <f t="shared" si="679"/>
        <v>15070.68</v>
      </c>
      <c r="O911" s="35">
        <f t="shared" si="679"/>
        <v>0</v>
      </c>
      <c r="P911" s="35">
        <f t="shared" si="679"/>
        <v>15070.68</v>
      </c>
    </row>
    <row r="912" spans="1:18" hidden="1" x14ac:dyDescent="0.25">
      <c r="E912" s="34"/>
      <c r="F912" s="34"/>
      <c r="G912" s="34">
        <f t="shared" si="635"/>
        <v>0</v>
      </c>
      <c r="H912" s="34"/>
      <c r="I912" s="34"/>
      <c r="J912" s="34">
        <f t="shared" si="633"/>
        <v>0</v>
      </c>
      <c r="K912" s="34"/>
      <c r="L912" s="34"/>
      <c r="M912" s="34">
        <f t="shared" si="634"/>
        <v>0</v>
      </c>
      <c r="N912" s="34">
        <f t="shared" si="636"/>
        <v>0</v>
      </c>
      <c r="O912" s="34">
        <f t="shared" si="637"/>
        <v>0</v>
      </c>
      <c r="P912" s="34">
        <f t="shared" si="638"/>
        <v>0</v>
      </c>
    </row>
    <row r="913" spans="1:16" hidden="1" x14ac:dyDescent="0.25">
      <c r="A913" s="8" t="s">
        <v>482</v>
      </c>
      <c r="B913" s="4" t="str">
        <f t="shared" ref="B913:B921" si="680">LEFT(A913,4)</f>
        <v>2010</v>
      </c>
      <c r="E913" s="34">
        <f>VLOOKUP($B913,Town_Sage!$A$5:$D$399,3,0)</f>
        <v>0</v>
      </c>
      <c r="F913" s="34">
        <f>VLOOKUP($B913,Town_Sage!$A$5:$D$399,4,0)</f>
        <v>11339.63</v>
      </c>
      <c r="G913" s="34">
        <f t="shared" si="635"/>
        <v>-11339.63</v>
      </c>
      <c r="H913" s="34"/>
      <c r="I913" s="34"/>
      <c r="J913" s="34">
        <f t="shared" si="633"/>
        <v>0</v>
      </c>
      <c r="K913" s="34"/>
      <c r="L913" s="34"/>
      <c r="M913" s="34">
        <f t="shared" si="634"/>
        <v>0</v>
      </c>
      <c r="N913" s="34">
        <f t="shared" si="636"/>
        <v>0</v>
      </c>
      <c r="O913" s="34">
        <f t="shared" si="637"/>
        <v>11339.63</v>
      </c>
      <c r="P913" s="34">
        <f t="shared" si="638"/>
        <v>-11339.63</v>
      </c>
    </row>
    <row r="914" spans="1:16" hidden="1" x14ac:dyDescent="0.25">
      <c r="A914" s="8" t="s">
        <v>483</v>
      </c>
      <c r="B914" s="4" t="str">
        <f t="shared" si="680"/>
        <v>2013</v>
      </c>
      <c r="E914" s="34">
        <f>VLOOKUP($B914,Town_Sage!$A$5:$D$399,3,0)</f>
        <v>0</v>
      </c>
      <c r="F914" s="34">
        <f>VLOOKUP($B914,Town_Sage!$A$5:$D$399,4,0)</f>
        <v>451.88</v>
      </c>
      <c r="G914" s="34">
        <f t="shared" si="635"/>
        <v>-451.88</v>
      </c>
      <c r="H914" s="34"/>
      <c r="I914" s="34"/>
      <c r="J914" s="34">
        <f t="shared" si="633"/>
        <v>0</v>
      </c>
      <c r="K914" s="34"/>
      <c r="L914" s="34"/>
      <c r="M914" s="34">
        <f t="shared" si="634"/>
        <v>0</v>
      </c>
      <c r="N914" s="34">
        <f t="shared" si="636"/>
        <v>0</v>
      </c>
      <c r="O914" s="34">
        <f t="shared" si="637"/>
        <v>451.88</v>
      </c>
      <c r="P914" s="34">
        <f t="shared" si="638"/>
        <v>-451.88</v>
      </c>
    </row>
    <row r="915" spans="1:16" hidden="1" x14ac:dyDescent="0.25">
      <c r="A915" s="8" t="s">
        <v>484</v>
      </c>
      <c r="B915" s="4" t="str">
        <f t="shared" si="680"/>
        <v>2015</v>
      </c>
      <c r="E915" s="34">
        <f>VLOOKUP($B915,Town_Sage!$A$5:$D$399,3,0)</f>
        <v>0</v>
      </c>
      <c r="F915" s="34">
        <f>VLOOKUP($B915,Town_Sage!$A$5:$D$399,4,0)</f>
        <v>0</v>
      </c>
      <c r="G915" s="34">
        <f t="shared" si="635"/>
        <v>0</v>
      </c>
      <c r="H915" s="34"/>
      <c r="I915" s="34"/>
      <c r="J915" s="34">
        <f t="shared" si="633"/>
        <v>0</v>
      </c>
      <c r="K915" s="34"/>
      <c r="L915" s="34"/>
      <c r="M915" s="34">
        <f t="shared" si="634"/>
        <v>0</v>
      </c>
      <c r="N915" s="34">
        <f t="shared" si="636"/>
        <v>0</v>
      </c>
      <c r="O915" s="34">
        <f t="shared" si="637"/>
        <v>0</v>
      </c>
      <c r="P915" s="34">
        <f t="shared" si="638"/>
        <v>0</v>
      </c>
    </row>
    <row r="916" spans="1:16" hidden="1" x14ac:dyDescent="0.25">
      <c r="A916" s="8" t="s">
        <v>485</v>
      </c>
      <c r="B916" s="4" t="str">
        <f t="shared" si="680"/>
        <v>2018</v>
      </c>
      <c r="E916" s="34">
        <f>VLOOKUP($B916,Town_Sage!$A$5:$D$399,3,0)</f>
        <v>0</v>
      </c>
      <c r="F916" s="34">
        <f>VLOOKUP($B916,Town_Sage!$A$5:$D$399,4,0)</f>
        <v>2963.34</v>
      </c>
      <c r="G916" s="34">
        <f t="shared" si="635"/>
        <v>-2963.34</v>
      </c>
      <c r="H916" s="34"/>
      <c r="I916" s="34"/>
      <c r="J916" s="34">
        <f t="shared" si="633"/>
        <v>0</v>
      </c>
      <c r="K916" s="34"/>
      <c r="L916" s="34"/>
      <c r="M916" s="34">
        <f t="shared" si="634"/>
        <v>0</v>
      </c>
      <c r="N916" s="34">
        <f t="shared" si="636"/>
        <v>0</v>
      </c>
      <c r="O916" s="34">
        <f t="shared" si="637"/>
        <v>2963.34</v>
      </c>
      <c r="P916" s="34">
        <f t="shared" si="638"/>
        <v>-2963.34</v>
      </c>
    </row>
    <row r="917" spans="1:16" hidden="1" x14ac:dyDescent="0.25">
      <c r="A917" s="8" t="s">
        <v>486</v>
      </c>
      <c r="B917" s="4" t="str">
        <f t="shared" si="680"/>
        <v>2020</v>
      </c>
      <c r="E917" s="34">
        <f>VLOOKUP($B917,Town_Sage!$A$5:$D$399,3,0)</f>
        <v>0</v>
      </c>
      <c r="F917" s="34">
        <f>VLOOKUP($B917,Town_Sage!$A$5:$D$399,4,0)</f>
        <v>21894.28</v>
      </c>
      <c r="G917" s="34">
        <f t="shared" si="635"/>
        <v>-21894.28</v>
      </c>
      <c r="H917" s="34"/>
      <c r="I917" s="34"/>
      <c r="J917" s="34">
        <f t="shared" si="633"/>
        <v>0</v>
      </c>
      <c r="K917" s="34"/>
      <c r="L917" s="34"/>
      <c r="M917" s="34">
        <f t="shared" si="634"/>
        <v>0</v>
      </c>
      <c r="N917" s="34">
        <f t="shared" si="636"/>
        <v>0</v>
      </c>
      <c r="O917" s="34">
        <f t="shared" si="637"/>
        <v>21894.28</v>
      </c>
      <c r="P917" s="34">
        <f t="shared" si="638"/>
        <v>-21894.28</v>
      </c>
    </row>
    <row r="918" spans="1:16" hidden="1" x14ac:dyDescent="0.25">
      <c r="A918" s="8" t="s">
        <v>487</v>
      </c>
      <c r="B918" s="4" t="str">
        <f t="shared" si="680"/>
        <v>2030</v>
      </c>
      <c r="E918" s="34">
        <f>VLOOKUP($B918,Town_Sage!$A$5:$D$399,3,0)</f>
        <v>0</v>
      </c>
      <c r="F918" s="34">
        <f>VLOOKUP($B918,Town_Sage!$A$5:$D$399,4,0)</f>
        <v>110.16</v>
      </c>
      <c r="G918" s="34">
        <f t="shared" si="635"/>
        <v>-110.16</v>
      </c>
      <c r="H918" s="34"/>
      <c r="I918" s="34"/>
      <c r="J918" s="34">
        <f t="shared" si="633"/>
        <v>0</v>
      </c>
      <c r="K918" s="34"/>
      <c r="L918" s="34"/>
      <c r="M918" s="34">
        <f t="shared" si="634"/>
        <v>0</v>
      </c>
      <c r="N918" s="34">
        <f t="shared" si="636"/>
        <v>0</v>
      </c>
      <c r="O918" s="34">
        <f t="shared" si="637"/>
        <v>110.16</v>
      </c>
      <c r="P918" s="34">
        <f t="shared" si="638"/>
        <v>-110.16</v>
      </c>
    </row>
    <row r="919" spans="1:16" hidden="1" x14ac:dyDescent="0.25">
      <c r="A919" s="8" t="s">
        <v>488</v>
      </c>
      <c r="B919" s="4" t="str">
        <f t="shared" si="680"/>
        <v>2035</v>
      </c>
      <c r="E919" s="34">
        <f>VLOOKUP($B919,Town_Sage!$A$5:$D$399,3,0)</f>
        <v>0</v>
      </c>
      <c r="F919" s="34">
        <f>VLOOKUP($B919,Town_Sage!$A$5:$D$399,4,0)</f>
        <v>0</v>
      </c>
      <c r="G919" s="34">
        <f t="shared" si="635"/>
        <v>0</v>
      </c>
      <c r="H919" s="34"/>
      <c r="I919" s="34"/>
      <c r="J919" s="34">
        <f t="shared" si="633"/>
        <v>0</v>
      </c>
      <c r="K919" s="34"/>
      <c r="L919" s="34"/>
      <c r="M919" s="34">
        <f t="shared" si="634"/>
        <v>0</v>
      </c>
      <c r="N919" s="34">
        <f t="shared" si="636"/>
        <v>0</v>
      </c>
      <c r="O919" s="34">
        <f t="shared" si="637"/>
        <v>0</v>
      </c>
      <c r="P919" s="34">
        <f t="shared" si="638"/>
        <v>0</v>
      </c>
    </row>
    <row r="920" spans="1:16" hidden="1" x14ac:dyDescent="0.25">
      <c r="A920" s="8" t="s">
        <v>489</v>
      </c>
      <c r="B920" s="4" t="str">
        <f t="shared" si="680"/>
        <v>2036</v>
      </c>
      <c r="E920" s="34">
        <f>VLOOKUP($B920,Town_Sage!$A$5:$D$399,3,0)</f>
        <v>0.01</v>
      </c>
      <c r="F920" s="34">
        <f>VLOOKUP($B920,Town_Sage!$A$5:$D$399,4,0)</f>
        <v>0</v>
      </c>
      <c r="G920" s="34">
        <f t="shared" si="635"/>
        <v>0.01</v>
      </c>
      <c r="H920" s="34"/>
      <c r="I920" s="34"/>
      <c r="J920" s="34">
        <f t="shared" si="633"/>
        <v>0</v>
      </c>
      <c r="K920" s="34"/>
      <c r="L920" s="34"/>
      <c r="M920" s="34">
        <f t="shared" si="634"/>
        <v>0</v>
      </c>
      <c r="N920" s="34">
        <f t="shared" si="636"/>
        <v>0.01</v>
      </c>
      <c r="O920" s="34">
        <f t="shared" si="637"/>
        <v>0</v>
      </c>
      <c r="P920" s="34">
        <f t="shared" si="638"/>
        <v>0.01</v>
      </c>
    </row>
    <row r="921" spans="1:16" hidden="1" x14ac:dyDescent="0.25">
      <c r="A921" s="8" t="s">
        <v>490</v>
      </c>
      <c r="B921" s="4" t="str">
        <f t="shared" si="680"/>
        <v>2037</v>
      </c>
      <c r="E921" s="34">
        <f>VLOOKUP($B921,Town_Sage!$A$5:$D$399,3,0)</f>
        <v>0</v>
      </c>
      <c r="F921" s="34">
        <f>VLOOKUP($B921,Town_Sage!$A$5:$D$399,4,0)</f>
        <v>0</v>
      </c>
      <c r="G921" s="34">
        <f t="shared" si="635"/>
        <v>0</v>
      </c>
      <c r="H921" s="34"/>
      <c r="I921" s="34"/>
      <c r="J921" s="34">
        <f t="shared" si="633"/>
        <v>0</v>
      </c>
      <c r="K921" s="34"/>
      <c r="L921" s="34"/>
      <c r="M921" s="34">
        <f t="shared" si="634"/>
        <v>0</v>
      </c>
      <c r="N921" s="34">
        <f t="shared" si="636"/>
        <v>0</v>
      </c>
      <c r="O921" s="34">
        <f t="shared" si="637"/>
        <v>0</v>
      </c>
      <c r="P921" s="34">
        <f t="shared" si="638"/>
        <v>0</v>
      </c>
    </row>
    <row r="922" spans="1:16" hidden="1" x14ac:dyDescent="0.25">
      <c r="A922" s="8" t="s">
        <v>5</v>
      </c>
      <c r="C922" s="103">
        <f t="shared" ref="C922:D922" si="681">SUM(C913:C921)</f>
        <v>0</v>
      </c>
      <c r="D922" s="99">
        <f t="shared" si="681"/>
        <v>0</v>
      </c>
      <c r="E922" s="35">
        <f>SUM(E913:E921)</f>
        <v>0.01</v>
      </c>
      <c r="F922" s="35">
        <f t="shared" ref="F922:P922" si="682">SUM(F913:F921)</f>
        <v>36759.29</v>
      </c>
      <c r="G922" s="35">
        <f t="shared" si="682"/>
        <v>-36759.279999999999</v>
      </c>
      <c r="H922" s="35">
        <f t="shared" si="682"/>
        <v>0</v>
      </c>
      <c r="I922" s="35">
        <f t="shared" si="682"/>
        <v>0</v>
      </c>
      <c r="J922" s="35">
        <f t="shared" si="682"/>
        <v>0</v>
      </c>
      <c r="K922" s="35">
        <f t="shared" si="682"/>
        <v>0</v>
      </c>
      <c r="L922" s="35">
        <f t="shared" si="682"/>
        <v>0</v>
      </c>
      <c r="M922" s="35">
        <f t="shared" si="682"/>
        <v>0</v>
      </c>
      <c r="N922" s="35">
        <f t="shared" si="682"/>
        <v>0.01</v>
      </c>
      <c r="O922" s="35">
        <f t="shared" si="682"/>
        <v>36759.29</v>
      </c>
      <c r="P922" s="35">
        <f t="shared" si="682"/>
        <v>-36759.279999999999</v>
      </c>
    </row>
    <row r="923" spans="1:16" hidden="1" x14ac:dyDescent="0.25">
      <c r="C923" s="104"/>
      <c r="D923" s="100"/>
      <c r="E923" s="34"/>
      <c r="F923" s="34"/>
      <c r="G923" s="34">
        <f t="shared" si="635"/>
        <v>0</v>
      </c>
      <c r="H923" s="34"/>
      <c r="I923" s="34"/>
      <c r="J923" s="34">
        <f t="shared" si="633"/>
        <v>0</v>
      </c>
      <c r="K923" s="34"/>
      <c r="L923" s="34"/>
      <c r="M923" s="34">
        <f t="shared" si="634"/>
        <v>0</v>
      </c>
      <c r="N923" s="34">
        <f t="shared" si="636"/>
        <v>0</v>
      </c>
      <c r="O923" s="34">
        <f t="shared" si="637"/>
        <v>0</v>
      </c>
      <c r="P923" s="34">
        <f t="shared" si="638"/>
        <v>0</v>
      </c>
    </row>
    <row r="924" spans="1:16" hidden="1" x14ac:dyDescent="0.25">
      <c r="A924" s="8" t="s">
        <v>491</v>
      </c>
      <c r="B924" s="4" t="str">
        <f>LEFT(A924,4)</f>
        <v>2001</v>
      </c>
      <c r="C924" s="104"/>
      <c r="D924" s="100"/>
      <c r="E924" s="34"/>
      <c r="F924" s="34"/>
      <c r="G924" s="34">
        <f t="shared" si="635"/>
        <v>0</v>
      </c>
      <c r="H924" s="34">
        <f>VLOOKUP($B924,Utility!$A$5:$D$248,3,0)</f>
        <v>0</v>
      </c>
      <c r="I924" s="34">
        <f>VLOOKUP($B924,Utility!$A$5:$D$248,4,0)</f>
        <v>13966.8</v>
      </c>
      <c r="J924" s="34">
        <f t="shared" ref="J924:J975" si="683">IF(H924&gt;0,H924,-I924)</f>
        <v>-13966.8</v>
      </c>
      <c r="K924" s="34"/>
      <c r="L924" s="34"/>
      <c r="M924" s="34">
        <f t="shared" ref="M924:M975" si="684">IF(K924&gt;0,K924,-L924)</f>
        <v>0</v>
      </c>
      <c r="N924" s="34">
        <f t="shared" si="636"/>
        <v>0</v>
      </c>
      <c r="O924" s="34">
        <f t="shared" si="637"/>
        <v>13966.8</v>
      </c>
      <c r="P924" s="34">
        <f t="shared" si="638"/>
        <v>-13966.8</v>
      </c>
    </row>
    <row r="925" spans="1:16" hidden="1" x14ac:dyDescent="0.25">
      <c r="A925" s="8" t="s">
        <v>492</v>
      </c>
      <c r="B925" s="4" t="str">
        <f>LEFT(A925,4)</f>
        <v>2002</v>
      </c>
      <c r="C925" s="104"/>
      <c r="D925" s="100"/>
      <c r="E925" s="34"/>
      <c r="F925" s="34"/>
      <c r="G925" s="34">
        <f t="shared" ref="G925:G975" si="685">IF(E925&gt;0,E925,-F925)</f>
        <v>0</v>
      </c>
      <c r="H925" s="34">
        <f>VLOOKUP($B925,Utility!$A$5:$D$248,3,0)</f>
        <v>0</v>
      </c>
      <c r="I925" s="34">
        <f>VLOOKUP($B925,Utility!$A$5:$D$248,4,0)</f>
        <v>247.5</v>
      </c>
      <c r="J925" s="34">
        <f t="shared" si="683"/>
        <v>-247.5</v>
      </c>
      <c r="K925" s="34"/>
      <c r="L925" s="34"/>
      <c r="M925" s="34">
        <f t="shared" si="684"/>
        <v>0</v>
      </c>
      <c r="N925" s="34">
        <f t="shared" ref="N925:N975" si="686">E925+H925+K925</f>
        <v>0</v>
      </c>
      <c r="O925" s="34">
        <f t="shared" ref="O925:O975" si="687">F925+I925+L925</f>
        <v>247.5</v>
      </c>
      <c r="P925" s="34">
        <f t="shared" ref="P925:P975" si="688">IF(N925&gt;0,N925,-O925)</f>
        <v>-247.5</v>
      </c>
    </row>
    <row r="926" spans="1:16" hidden="1" x14ac:dyDescent="0.25">
      <c r="A926" s="8" t="s">
        <v>493</v>
      </c>
      <c r="B926" s="4" t="str">
        <f>LEFT(A926,4)</f>
        <v>2050</v>
      </c>
      <c r="C926" s="104"/>
      <c r="D926" s="100"/>
      <c r="E926" s="34"/>
      <c r="F926" s="34"/>
      <c r="G926" s="34">
        <f t="shared" si="685"/>
        <v>0</v>
      </c>
      <c r="H926" s="34">
        <f>VLOOKUP($B926,Utility!$A$5:$D$248,3,0)</f>
        <v>0</v>
      </c>
      <c r="I926" s="34">
        <f>VLOOKUP($B926,Utility!$A$5:$D$248,4,0)</f>
        <v>1666.06</v>
      </c>
      <c r="J926" s="34">
        <f t="shared" si="683"/>
        <v>-1666.06</v>
      </c>
      <c r="K926" s="34"/>
      <c r="L926" s="34"/>
      <c r="M926" s="34">
        <f t="shared" si="684"/>
        <v>0</v>
      </c>
      <c r="N926" s="34">
        <f t="shared" si="686"/>
        <v>0</v>
      </c>
      <c r="O926" s="34">
        <f t="shared" si="687"/>
        <v>1666.06</v>
      </c>
      <c r="P926" s="34">
        <f t="shared" si="688"/>
        <v>-1666.06</v>
      </c>
    </row>
    <row r="927" spans="1:16" hidden="1" x14ac:dyDescent="0.25">
      <c r="A927" s="8" t="s">
        <v>8</v>
      </c>
      <c r="C927" s="103">
        <f t="shared" ref="C927:D927" si="689">SUM(C924:C926)</f>
        <v>0</v>
      </c>
      <c r="D927" s="99">
        <f t="shared" si="689"/>
        <v>0</v>
      </c>
      <c r="E927" s="35">
        <f>SUM(E924:E926)</f>
        <v>0</v>
      </c>
      <c r="F927" s="35">
        <f t="shared" ref="F927:P927" si="690">SUM(F924:F926)</f>
        <v>0</v>
      </c>
      <c r="G927" s="35">
        <f t="shared" si="690"/>
        <v>0</v>
      </c>
      <c r="H927" s="35">
        <f t="shared" si="690"/>
        <v>0</v>
      </c>
      <c r="I927" s="35">
        <f t="shared" si="690"/>
        <v>15880.359999999999</v>
      </c>
      <c r="J927" s="35">
        <f t="shared" si="690"/>
        <v>-15880.359999999999</v>
      </c>
      <c r="K927" s="35">
        <f t="shared" si="690"/>
        <v>0</v>
      </c>
      <c r="L927" s="35">
        <f t="shared" si="690"/>
        <v>0</v>
      </c>
      <c r="M927" s="35">
        <f t="shared" si="690"/>
        <v>0</v>
      </c>
      <c r="N927" s="35">
        <f t="shared" si="690"/>
        <v>0</v>
      </c>
      <c r="O927" s="35">
        <f t="shared" si="690"/>
        <v>15880.359999999999</v>
      </c>
      <c r="P927" s="35">
        <f t="shared" si="690"/>
        <v>-15880.359999999999</v>
      </c>
    </row>
    <row r="928" spans="1:16" hidden="1" x14ac:dyDescent="0.25">
      <c r="E928" s="34"/>
      <c r="F928" s="34"/>
      <c r="G928" s="34">
        <f t="shared" si="685"/>
        <v>0</v>
      </c>
      <c r="H928" s="34"/>
      <c r="I928" s="34"/>
      <c r="J928" s="34">
        <f t="shared" si="683"/>
        <v>0</v>
      </c>
      <c r="K928" s="34"/>
      <c r="L928" s="34"/>
      <c r="M928" s="34">
        <f t="shared" si="684"/>
        <v>0</v>
      </c>
      <c r="N928" s="34">
        <f t="shared" si="686"/>
        <v>0</v>
      </c>
      <c r="O928" s="34">
        <f t="shared" si="687"/>
        <v>0</v>
      </c>
      <c r="P928" s="34">
        <f t="shared" si="688"/>
        <v>0</v>
      </c>
    </row>
    <row r="929" spans="1:16" hidden="1" x14ac:dyDescent="0.25">
      <c r="A929" s="8" t="s">
        <v>494</v>
      </c>
      <c r="B929" s="4" t="str">
        <f>LEFT(A929,4)</f>
        <v>2010</v>
      </c>
      <c r="E929" s="34"/>
      <c r="F929" s="34"/>
      <c r="G929" s="34">
        <f t="shared" si="685"/>
        <v>0</v>
      </c>
      <c r="H929" s="34"/>
      <c r="I929" s="34"/>
      <c r="J929" s="34">
        <f t="shared" si="683"/>
        <v>0</v>
      </c>
      <c r="K929" s="34">
        <f>VLOOKUP($B929,Arena_Sage!$A$5:$D$189,3,0)</f>
        <v>0</v>
      </c>
      <c r="L929" s="34">
        <f>VLOOKUP($B929,Arena_Sage!$A$5:$D$189,4,0)</f>
        <v>7378.49</v>
      </c>
      <c r="M929" s="34">
        <f t="shared" si="684"/>
        <v>-7378.49</v>
      </c>
      <c r="N929" s="34">
        <f t="shared" si="686"/>
        <v>0</v>
      </c>
      <c r="O929" s="34">
        <f t="shared" si="687"/>
        <v>7378.49</v>
      </c>
      <c r="P929" s="34">
        <f t="shared" si="688"/>
        <v>-7378.49</v>
      </c>
    </row>
    <row r="930" spans="1:16" hidden="1" x14ac:dyDescent="0.25">
      <c r="A930" s="8" t="s">
        <v>495</v>
      </c>
      <c r="B930" s="4" t="str">
        <f>LEFT(A930,4)</f>
        <v>2015</v>
      </c>
      <c r="E930" s="34"/>
      <c r="F930" s="34"/>
      <c r="G930" s="34">
        <f t="shared" si="685"/>
        <v>0</v>
      </c>
      <c r="H930" s="34"/>
      <c r="I930" s="34"/>
      <c r="J930" s="34">
        <f t="shared" si="683"/>
        <v>0</v>
      </c>
      <c r="K930" s="34">
        <f>VLOOKUP($B930,Arena_Sage!$A$5:$D$189,3,0)</f>
        <v>0</v>
      </c>
      <c r="L930" s="34">
        <f>VLOOKUP($B930,Arena_Sage!$A$5:$D$189,4,0)</f>
        <v>1237.6300000000001</v>
      </c>
      <c r="M930" s="34">
        <f t="shared" si="684"/>
        <v>-1237.6300000000001</v>
      </c>
      <c r="N930" s="34">
        <f t="shared" si="686"/>
        <v>0</v>
      </c>
      <c r="O930" s="34">
        <f t="shared" si="687"/>
        <v>1237.6300000000001</v>
      </c>
      <c r="P930" s="34">
        <f t="shared" si="688"/>
        <v>-1237.6300000000001</v>
      </c>
    </row>
    <row r="931" spans="1:16" hidden="1" x14ac:dyDescent="0.25">
      <c r="A931" s="8" t="s">
        <v>12</v>
      </c>
      <c r="C931" s="103">
        <f t="shared" ref="C931:D931" si="691">SUM(C929:C930)</f>
        <v>0</v>
      </c>
      <c r="D931" s="99">
        <f t="shared" si="691"/>
        <v>0</v>
      </c>
      <c r="E931" s="35">
        <f>SUM(E929:E930)</f>
        <v>0</v>
      </c>
      <c r="F931" s="35">
        <f t="shared" ref="F931:P931" si="692">SUM(F929:F930)</f>
        <v>0</v>
      </c>
      <c r="G931" s="35">
        <f t="shared" si="692"/>
        <v>0</v>
      </c>
      <c r="H931" s="35">
        <f t="shared" si="692"/>
        <v>0</v>
      </c>
      <c r="I931" s="35">
        <f t="shared" si="692"/>
        <v>0</v>
      </c>
      <c r="J931" s="35">
        <f t="shared" si="692"/>
        <v>0</v>
      </c>
      <c r="K931" s="35">
        <f t="shared" si="692"/>
        <v>0</v>
      </c>
      <c r="L931" s="35">
        <f t="shared" si="692"/>
        <v>8616.119999999999</v>
      </c>
      <c r="M931" s="35">
        <f t="shared" si="692"/>
        <v>-8616.119999999999</v>
      </c>
      <c r="N931" s="35">
        <f t="shared" si="692"/>
        <v>0</v>
      </c>
      <c r="O931" s="35">
        <f t="shared" si="692"/>
        <v>8616.119999999999</v>
      </c>
      <c r="P931" s="35">
        <f t="shared" si="692"/>
        <v>-8616.119999999999</v>
      </c>
    </row>
    <row r="932" spans="1:16" hidden="1" x14ac:dyDescent="0.25">
      <c r="C932" s="104"/>
      <c r="D932" s="100"/>
      <c r="E932" s="34"/>
      <c r="F932" s="34"/>
      <c r="G932" s="34">
        <f t="shared" si="685"/>
        <v>0</v>
      </c>
      <c r="H932" s="34"/>
      <c r="I932" s="34"/>
      <c r="J932" s="34">
        <f t="shared" si="683"/>
        <v>0</v>
      </c>
      <c r="K932" s="34"/>
      <c r="L932" s="34"/>
      <c r="M932" s="34">
        <f t="shared" si="684"/>
        <v>0</v>
      </c>
      <c r="N932" s="34">
        <f t="shared" si="686"/>
        <v>0</v>
      </c>
      <c r="O932" s="34">
        <f t="shared" si="687"/>
        <v>0</v>
      </c>
      <c r="P932" s="34">
        <f t="shared" si="688"/>
        <v>0</v>
      </c>
    </row>
    <row r="933" spans="1:16" hidden="1" x14ac:dyDescent="0.25">
      <c r="A933" s="9" t="s">
        <v>496</v>
      </c>
      <c r="B933" s="12" t="str">
        <f>LEFT(A933,5)</f>
        <v>BB. 1</v>
      </c>
      <c r="C933" s="103">
        <f t="shared" ref="C933:D933" si="693">C922+C927+C931</f>
        <v>0</v>
      </c>
      <c r="D933" s="99">
        <f t="shared" si="693"/>
        <v>0</v>
      </c>
      <c r="E933" s="35">
        <f>E922+E927+E931</f>
        <v>0.01</v>
      </c>
      <c r="F933" s="35">
        <f t="shared" ref="F933:P933" si="694">F922+F927+F931</f>
        <v>36759.29</v>
      </c>
      <c r="G933" s="35">
        <f t="shared" si="694"/>
        <v>-36759.279999999999</v>
      </c>
      <c r="H933" s="35">
        <f t="shared" si="694"/>
        <v>0</v>
      </c>
      <c r="I933" s="35">
        <f t="shared" si="694"/>
        <v>15880.359999999999</v>
      </c>
      <c r="J933" s="35">
        <f t="shared" si="694"/>
        <v>-15880.359999999999</v>
      </c>
      <c r="K933" s="35">
        <f t="shared" si="694"/>
        <v>0</v>
      </c>
      <c r="L933" s="35">
        <f t="shared" si="694"/>
        <v>8616.119999999999</v>
      </c>
      <c r="M933" s="35">
        <f t="shared" si="694"/>
        <v>-8616.119999999999</v>
      </c>
      <c r="N933" s="35">
        <f t="shared" si="694"/>
        <v>0.01</v>
      </c>
      <c r="O933" s="35">
        <f t="shared" si="694"/>
        <v>61255.770000000004</v>
      </c>
      <c r="P933" s="35">
        <f t="shared" si="694"/>
        <v>-61255.759999999995</v>
      </c>
    </row>
    <row r="934" spans="1:16" x14ac:dyDescent="0.25">
      <c r="E934" s="34"/>
      <c r="F934" s="34"/>
      <c r="G934" s="34">
        <f t="shared" si="685"/>
        <v>0</v>
      </c>
      <c r="H934" s="34"/>
      <c r="I934" s="34"/>
      <c r="J934" s="34">
        <f t="shared" si="683"/>
        <v>0</v>
      </c>
      <c r="K934" s="34"/>
      <c r="L934" s="34"/>
      <c r="M934" s="34">
        <f t="shared" si="684"/>
        <v>0</v>
      </c>
      <c r="N934" s="34">
        <f t="shared" si="686"/>
        <v>0</v>
      </c>
      <c r="O934" s="34">
        <f t="shared" si="687"/>
        <v>0</v>
      </c>
      <c r="P934" s="34"/>
    </row>
    <row r="935" spans="1:16" x14ac:dyDescent="0.25">
      <c r="A935" s="8" t="s">
        <v>497</v>
      </c>
      <c r="B935" s="4" t="str">
        <f>LEFT(A935,4)</f>
        <v>2050</v>
      </c>
      <c r="C935" s="105"/>
      <c r="D935" s="101"/>
      <c r="E935" s="34">
        <f>VLOOKUP($B935,Town_Sage!$A$5:$D$399,3,0)</f>
        <v>0</v>
      </c>
      <c r="F935" s="34">
        <f>VLOOKUP($B935,Town_Sage!$A$5:$D$399,4,0)</f>
        <v>436879.25</v>
      </c>
      <c r="G935" s="34">
        <f t="shared" si="685"/>
        <v>-436879.25</v>
      </c>
      <c r="H935" s="34"/>
      <c r="I935" s="34"/>
      <c r="J935" s="34">
        <f t="shared" si="683"/>
        <v>0</v>
      </c>
      <c r="K935" s="34"/>
      <c r="L935" s="34"/>
      <c r="M935" s="34">
        <f t="shared" si="684"/>
        <v>0</v>
      </c>
      <c r="N935" s="34">
        <f t="shared" si="686"/>
        <v>0</v>
      </c>
      <c r="O935" s="34">
        <f t="shared" si="687"/>
        <v>436879.25</v>
      </c>
      <c r="P935" s="34">
        <f t="shared" si="688"/>
        <v>-436879.25</v>
      </c>
    </row>
    <row r="936" spans="1:16" x14ac:dyDescent="0.25">
      <c r="A936" s="8" t="s">
        <v>498</v>
      </c>
      <c r="B936" s="4" t="str">
        <f>LEFT(A936,4)</f>
        <v>2054</v>
      </c>
      <c r="C936" s="105"/>
      <c r="D936" s="101"/>
      <c r="E936" s="34">
        <f>VLOOKUP($B936,Town_Sage!$A$5:$D$399,3,0)</f>
        <v>0</v>
      </c>
      <c r="F936" s="34">
        <f>VLOOKUP($B936,Town_Sage!$A$5:$D$399,4,0)</f>
        <v>16502.8</v>
      </c>
      <c r="G936" s="34">
        <f t="shared" si="685"/>
        <v>-16502.8</v>
      </c>
      <c r="H936" s="34"/>
      <c r="I936" s="34"/>
      <c r="J936" s="34">
        <f t="shared" si="683"/>
        <v>0</v>
      </c>
      <c r="K936" s="34"/>
      <c r="L936" s="34"/>
      <c r="M936" s="34">
        <f t="shared" si="684"/>
        <v>0</v>
      </c>
      <c r="N936" s="34">
        <f t="shared" si="686"/>
        <v>0</v>
      </c>
      <c r="O936" s="34">
        <f t="shared" si="687"/>
        <v>16502.8</v>
      </c>
      <c r="P936" s="34">
        <f t="shared" si="688"/>
        <v>-16502.8</v>
      </c>
    </row>
    <row r="937" spans="1:16" x14ac:dyDescent="0.25">
      <c r="A937" s="8" t="s">
        <v>499</v>
      </c>
      <c r="B937" s="4" t="str">
        <f>LEFT(A937,4)</f>
        <v>2057</v>
      </c>
      <c r="C937" s="105"/>
      <c r="D937" s="101"/>
      <c r="E937" s="34">
        <f>VLOOKUP($B937,Town_Sage!$A$5:$D$399,3,0)</f>
        <v>0</v>
      </c>
      <c r="F937" s="34">
        <f>VLOOKUP($B937,Town_Sage!$A$5:$D$399,4,0)</f>
        <v>131440</v>
      </c>
      <c r="G937" s="34">
        <f t="shared" si="685"/>
        <v>-131440</v>
      </c>
      <c r="H937" s="34"/>
      <c r="I937" s="34"/>
      <c r="J937" s="34">
        <f t="shared" si="683"/>
        <v>0</v>
      </c>
      <c r="K937" s="34"/>
      <c r="L937" s="34"/>
      <c r="M937" s="34">
        <f t="shared" si="684"/>
        <v>0</v>
      </c>
      <c r="N937" s="34">
        <f t="shared" si="686"/>
        <v>0</v>
      </c>
      <c r="O937" s="34">
        <f t="shared" si="687"/>
        <v>131440</v>
      </c>
      <c r="P937" s="34">
        <f t="shared" si="688"/>
        <v>-131440</v>
      </c>
    </row>
    <row r="938" spans="1:16" x14ac:dyDescent="0.25">
      <c r="A938" s="8" t="s">
        <v>5</v>
      </c>
      <c r="C938" s="103">
        <f t="shared" ref="C938:D938" si="695">SUM(C935:C937)</f>
        <v>0</v>
      </c>
      <c r="D938" s="99">
        <f t="shared" si="695"/>
        <v>0</v>
      </c>
      <c r="E938" s="35">
        <f>SUM(E935:E937)</f>
        <v>0</v>
      </c>
      <c r="F938" s="35">
        <f t="shared" ref="F938:P938" si="696">SUM(F935:F937)</f>
        <v>584822.05000000005</v>
      </c>
      <c r="G938" s="35">
        <f t="shared" si="696"/>
        <v>-584822.05000000005</v>
      </c>
      <c r="H938" s="35">
        <f t="shared" si="696"/>
        <v>0</v>
      </c>
      <c r="I938" s="35">
        <f t="shared" si="696"/>
        <v>0</v>
      </c>
      <c r="J938" s="35">
        <f t="shared" si="696"/>
        <v>0</v>
      </c>
      <c r="K938" s="35">
        <f t="shared" si="696"/>
        <v>0</v>
      </c>
      <c r="L938" s="35">
        <f t="shared" si="696"/>
        <v>0</v>
      </c>
      <c r="M938" s="35">
        <f t="shared" si="696"/>
        <v>0</v>
      </c>
      <c r="N938" s="35">
        <f t="shared" si="696"/>
        <v>0</v>
      </c>
      <c r="O938" s="35">
        <f t="shared" si="696"/>
        <v>584822.05000000005</v>
      </c>
      <c r="P938" s="35">
        <f t="shared" si="696"/>
        <v>-584822.05000000005</v>
      </c>
    </row>
    <row r="939" spans="1:16" x14ac:dyDescent="0.25">
      <c r="C939" s="104"/>
      <c r="D939" s="100"/>
      <c r="E939" s="34"/>
      <c r="F939" s="34"/>
      <c r="G939" s="34">
        <f t="shared" si="685"/>
        <v>0</v>
      </c>
      <c r="H939" s="34"/>
      <c r="I939" s="34"/>
      <c r="J939" s="34">
        <f t="shared" si="683"/>
        <v>0</v>
      </c>
      <c r="K939" s="34"/>
      <c r="L939" s="34"/>
      <c r="M939" s="34">
        <f t="shared" si="684"/>
        <v>0</v>
      </c>
      <c r="N939" s="34">
        <f t="shared" si="686"/>
        <v>0</v>
      </c>
      <c r="O939" s="34">
        <f t="shared" si="687"/>
        <v>0</v>
      </c>
      <c r="P939" s="34"/>
    </row>
    <row r="940" spans="1:16" x14ac:dyDescent="0.25">
      <c r="A940" s="8" t="s">
        <v>500</v>
      </c>
      <c r="B940" s="4" t="str">
        <f>LEFT(A940,4)</f>
        <v>2080</v>
      </c>
      <c r="C940" s="108"/>
      <c r="D940" s="109"/>
      <c r="E940" s="34"/>
      <c r="F940" s="34"/>
      <c r="G940" s="34">
        <f t="shared" si="685"/>
        <v>0</v>
      </c>
      <c r="H940" s="34">
        <f>VLOOKUP($B940,Utility!$A$5:$D$248,3,0)</f>
        <v>0</v>
      </c>
      <c r="I940" s="34">
        <f>VLOOKUP($B940,Utility!$A$5:$D$248,4,0)</f>
        <v>0</v>
      </c>
      <c r="J940" s="34">
        <f t="shared" si="683"/>
        <v>0</v>
      </c>
      <c r="K940" s="34"/>
      <c r="L940" s="34"/>
      <c r="M940" s="34">
        <f t="shared" si="684"/>
        <v>0</v>
      </c>
      <c r="N940" s="34">
        <f t="shared" si="686"/>
        <v>0</v>
      </c>
      <c r="O940" s="34">
        <f t="shared" si="687"/>
        <v>0</v>
      </c>
      <c r="P940" s="34">
        <f t="shared" si="688"/>
        <v>0</v>
      </c>
    </row>
    <row r="941" spans="1:16" x14ac:dyDescent="0.25">
      <c r="A941" s="8" t="s">
        <v>8</v>
      </c>
      <c r="C941" s="103">
        <f t="shared" ref="C941:D941" si="697">C940</f>
        <v>0</v>
      </c>
      <c r="D941" s="99">
        <f t="shared" si="697"/>
        <v>0</v>
      </c>
      <c r="E941" s="35">
        <f>E940</f>
        <v>0</v>
      </c>
      <c r="F941" s="35">
        <f t="shared" ref="F941:P941" si="698">F940</f>
        <v>0</v>
      </c>
      <c r="G941" s="35">
        <f t="shared" si="698"/>
        <v>0</v>
      </c>
      <c r="H941" s="35">
        <f t="shared" si="698"/>
        <v>0</v>
      </c>
      <c r="I941" s="35">
        <f t="shared" si="698"/>
        <v>0</v>
      </c>
      <c r="J941" s="35">
        <f t="shared" si="698"/>
        <v>0</v>
      </c>
      <c r="K941" s="35">
        <f t="shared" si="698"/>
        <v>0</v>
      </c>
      <c r="L941" s="35">
        <f t="shared" si="698"/>
        <v>0</v>
      </c>
      <c r="M941" s="35">
        <f t="shared" si="698"/>
        <v>0</v>
      </c>
      <c r="N941" s="35">
        <f t="shared" si="698"/>
        <v>0</v>
      </c>
      <c r="O941" s="35">
        <f t="shared" si="698"/>
        <v>0</v>
      </c>
      <c r="P941" s="35">
        <f t="shared" si="698"/>
        <v>0</v>
      </c>
    </row>
    <row r="942" spans="1:16" x14ac:dyDescent="0.25">
      <c r="C942" s="104"/>
      <c r="D942" s="100"/>
      <c r="E942" s="34"/>
      <c r="F942" s="34"/>
      <c r="G942" s="34">
        <f t="shared" si="685"/>
        <v>0</v>
      </c>
      <c r="H942" s="34"/>
      <c r="I942" s="34"/>
      <c r="J942" s="34">
        <f t="shared" si="683"/>
        <v>0</v>
      </c>
      <c r="K942" s="34"/>
      <c r="L942" s="34"/>
      <c r="M942" s="34">
        <f t="shared" si="684"/>
        <v>0</v>
      </c>
      <c r="N942" s="34">
        <f t="shared" si="686"/>
        <v>0</v>
      </c>
      <c r="O942" s="34">
        <f t="shared" si="687"/>
        <v>0</v>
      </c>
      <c r="P942" s="34"/>
    </row>
    <row r="943" spans="1:16" x14ac:dyDescent="0.25">
      <c r="A943" s="9" t="s">
        <v>501</v>
      </c>
      <c r="B943" s="12" t="str">
        <f>LEFT(A943,5)</f>
        <v>DD. 1</v>
      </c>
      <c r="C943" s="103">
        <f t="shared" ref="C943:D943" si="699">C938+C941</f>
        <v>0</v>
      </c>
      <c r="D943" s="99">
        <f t="shared" si="699"/>
        <v>0</v>
      </c>
      <c r="E943" s="35">
        <f>E938+E941</f>
        <v>0</v>
      </c>
      <c r="F943" s="35">
        <f t="shared" ref="F943:P943" si="700">F938+F941</f>
        <v>584822.05000000005</v>
      </c>
      <c r="G943" s="35">
        <f t="shared" si="700"/>
        <v>-584822.05000000005</v>
      </c>
      <c r="H943" s="35">
        <f t="shared" si="700"/>
        <v>0</v>
      </c>
      <c r="I943" s="35">
        <f t="shared" si="700"/>
        <v>0</v>
      </c>
      <c r="J943" s="35">
        <f t="shared" si="700"/>
        <v>0</v>
      </c>
      <c r="K943" s="35">
        <f t="shared" si="700"/>
        <v>0</v>
      </c>
      <c r="L943" s="35">
        <f t="shared" si="700"/>
        <v>0</v>
      </c>
      <c r="M943" s="35">
        <f t="shared" si="700"/>
        <v>0</v>
      </c>
      <c r="N943" s="35">
        <f t="shared" si="700"/>
        <v>0</v>
      </c>
      <c r="O943" s="35">
        <f t="shared" si="700"/>
        <v>584822.05000000005</v>
      </c>
      <c r="P943" s="35">
        <f t="shared" si="700"/>
        <v>-584822.05000000005</v>
      </c>
    </row>
    <row r="944" spans="1:16" x14ac:dyDescent="0.25">
      <c r="E944" s="34"/>
      <c r="F944" s="34"/>
      <c r="G944" s="34">
        <f t="shared" si="685"/>
        <v>0</v>
      </c>
      <c r="H944" s="34"/>
      <c r="I944" s="34"/>
      <c r="J944" s="34">
        <f t="shared" si="683"/>
        <v>0</v>
      </c>
      <c r="K944" s="34"/>
      <c r="L944" s="34"/>
      <c r="M944" s="34">
        <f t="shared" si="684"/>
        <v>0</v>
      </c>
      <c r="N944" s="34">
        <f t="shared" si="686"/>
        <v>0</v>
      </c>
      <c r="O944" s="34">
        <f t="shared" si="687"/>
        <v>0</v>
      </c>
      <c r="P944" s="34"/>
    </row>
    <row r="945" spans="1:22" x14ac:dyDescent="0.25">
      <c r="A945" s="8" t="s">
        <v>502</v>
      </c>
      <c r="B945" s="4" t="str">
        <f>LEFT(A945,4)</f>
        <v>2851</v>
      </c>
      <c r="C945" s="102">
        <v>-67351</v>
      </c>
      <c r="D945" s="98">
        <v>1433</v>
      </c>
      <c r="E945" s="34">
        <f>VLOOKUP($B945,Town_Sage!$A$5:$D$399,3,0)</f>
        <v>0</v>
      </c>
      <c r="F945" s="34">
        <f>VLOOKUP($B945,Town_Sage!$A$5:$D$399,4,0)</f>
        <v>85980.02</v>
      </c>
      <c r="G945" s="34">
        <f t="shared" si="685"/>
        <v>-85980.02</v>
      </c>
      <c r="H945" s="34"/>
      <c r="I945" s="34"/>
      <c r="J945" s="34">
        <f t="shared" si="683"/>
        <v>0</v>
      </c>
      <c r="K945" s="34"/>
      <c r="L945" s="34"/>
      <c r="M945" s="34">
        <f t="shared" si="684"/>
        <v>0</v>
      </c>
      <c r="N945" s="34">
        <f t="shared" si="686"/>
        <v>0</v>
      </c>
      <c r="O945" s="34">
        <f t="shared" si="687"/>
        <v>85980.02</v>
      </c>
      <c r="P945" s="34">
        <f t="shared" si="688"/>
        <v>-85980.02</v>
      </c>
      <c r="R945" s="98">
        <f>P945+D945</f>
        <v>-84547.02</v>
      </c>
      <c r="S945" s="86">
        <v>17196</v>
      </c>
      <c r="T945" s="98">
        <f>R945+S945</f>
        <v>-67351.02</v>
      </c>
    </row>
    <row r="946" spans="1:22" x14ac:dyDescent="0.25">
      <c r="A946" s="114" t="s">
        <v>2157</v>
      </c>
      <c r="B946" s="86" t="str">
        <f>LEFT(A946,4)</f>
        <v>2855</v>
      </c>
      <c r="C946" s="105">
        <v>-54000</v>
      </c>
      <c r="D946" s="101">
        <v>-60000</v>
      </c>
      <c r="E946" s="111">
        <f>VLOOKUP($B946,Town_Sage!$A$5:$D$399,3,0)</f>
        <v>0</v>
      </c>
      <c r="F946" s="111">
        <f>VLOOKUP($B946,Town_Sage!$A$5:$D$399,4,0)</f>
        <v>0</v>
      </c>
      <c r="G946" s="111">
        <f t="shared" ref="G946" si="701">IF(E946&gt;0,E946,-F946)</f>
        <v>0</v>
      </c>
      <c r="H946" s="111"/>
      <c r="I946" s="111"/>
      <c r="J946" s="111">
        <f t="shared" ref="J946" si="702">IF(H946&gt;0,H946,-I946)</f>
        <v>0</v>
      </c>
      <c r="K946" s="111"/>
      <c r="L946" s="111"/>
      <c r="M946" s="111">
        <f t="shared" ref="M946" si="703">IF(K946&gt;0,K946,-L946)</f>
        <v>0</v>
      </c>
      <c r="N946" s="111">
        <f t="shared" ref="N946" si="704">E946+H946+K946</f>
        <v>0</v>
      </c>
      <c r="O946" s="111">
        <f t="shared" ref="O946" si="705">F946+I946+L946</f>
        <v>0</v>
      </c>
      <c r="P946" s="111">
        <f t="shared" ref="P946" si="706">IF(N946&gt;0,N946,-O946)</f>
        <v>0</v>
      </c>
      <c r="R946" s="86">
        <v>6000</v>
      </c>
    </row>
    <row r="947" spans="1:22" x14ac:dyDescent="0.25">
      <c r="A947" s="8" t="s">
        <v>503</v>
      </c>
      <c r="B947" s="4" t="str">
        <f>LEFT(A947,4)</f>
        <v>2862</v>
      </c>
      <c r="C947" s="102">
        <v>-61286</v>
      </c>
      <c r="D947" s="98">
        <v>852</v>
      </c>
      <c r="E947" s="34">
        <f>VLOOKUP($B947,Town_Sage!$A$5:$D$399,3,0)</f>
        <v>0</v>
      </c>
      <c r="F947" s="34">
        <f>VLOOKUP($B947,Town_Sage!$A$5:$D$399,4,0)</f>
        <v>65545.539999999994</v>
      </c>
      <c r="G947" s="34">
        <f t="shared" si="685"/>
        <v>-65545.539999999994</v>
      </c>
      <c r="H947" s="34"/>
      <c r="I947" s="34"/>
      <c r="J947" s="34">
        <f t="shared" si="683"/>
        <v>0</v>
      </c>
      <c r="K947" s="34"/>
      <c r="L947" s="34"/>
      <c r="M947" s="34">
        <f t="shared" si="684"/>
        <v>0</v>
      </c>
      <c r="N947" s="34">
        <f t="shared" si="686"/>
        <v>0</v>
      </c>
      <c r="O947" s="34">
        <f t="shared" si="687"/>
        <v>65545.539999999994</v>
      </c>
      <c r="P947" s="34">
        <f t="shared" si="688"/>
        <v>-65545.539999999994</v>
      </c>
      <c r="R947" s="4">
        <v>-64978</v>
      </c>
      <c r="S947" s="4">
        <v>284</v>
      </c>
      <c r="T947" s="4">
        <f>SUM(R947:S947)</f>
        <v>-64694</v>
      </c>
      <c r="U947" s="143">
        <f>P947-T947</f>
        <v>-851.5399999999936</v>
      </c>
      <c r="V947" s="86">
        <v>3408</v>
      </c>
    </row>
    <row r="948" spans="1:22" x14ac:dyDescent="0.25">
      <c r="A948" s="8" t="s">
        <v>5</v>
      </c>
      <c r="C948" s="103">
        <f t="shared" ref="C948:D948" si="707">SUM(C945:C947)</f>
        <v>-182637</v>
      </c>
      <c r="D948" s="99">
        <f t="shared" si="707"/>
        <v>-57715</v>
      </c>
      <c r="E948" s="35">
        <f>SUM(E945:E947)</f>
        <v>0</v>
      </c>
      <c r="F948" s="35">
        <f t="shared" ref="F948:P948" si="708">SUM(F945:F947)</f>
        <v>151525.56</v>
      </c>
      <c r="G948" s="35">
        <f t="shared" si="708"/>
        <v>-151525.56</v>
      </c>
      <c r="H948" s="35">
        <f t="shared" si="708"/>
        <v>0</v>
      </c>
      <c r="I948" s="35">
        <f t="shared" si="708"/>
        <v>0</v>
      </c>
      <c r="J948" s="35">
        <f t="shared" si="708"/>
        <v>0</v>
      </c>
      <c r="K948" s="35">
        <f t="shared" si="708"/>
        <v>0</v>
      </c>
      <c r="L948" s="35">
        <f t="shared" si="708"/>
        <v>0</v>
      </c>
      <c r="M948" s="35">
        <f t="shared" si="708"/>
        <v>0</v>
      </c>
      <c r="N948" s="35">
        <f t="shared" si="708"/>
        <v>0</v>
      </c>
      <c r="O948" s="35">
        <f t="shared" si="708"/>
        <v>151525.56</v>
      </c>
      <c r="P948" s="35">
        <f t="shared" si="708"/>
        <v>-151525.56</v>
      </c>
      <c r="T948" s="4">
        <v>1</v>
      </c>
      <c r="U948" s="4">
        <f>T947+3408</f>
        <v>-61286</v>
      </c>
    </row>
    <row r="949" spans="1:22" x14ac:dyDescent="0.25">
      <c r="C949" s="104"/>
      <c r="D949" s="100"/>
      <c r="E949" s="34"/>
      <c r="F949" s="34"/>
      <c r="G949" s="34">
        <f t="shared" si="685"/>
        <v>0</v>
      </c>
      <c r="H949" s="34"/>
      <c r="I949" s="34"/>
      <c r="J949" s="34">
        <f t="shared" si="683"/>
        <v>0</v>
      </c>
      <c r="K949" s="34"/>
      <c r="L949" s="34"/>
      <c r="M949" s="34">
        <f t="shared" si="684"/>
        <v>0</v>
      </c>
      <c r="N949" s="34">
        <f t="shared" si="686"/>
        <v>0</v>
      </c>
      <c r="O949" s="34">
        <f t="shared" si="687"/>
        <v>0</v>
      </c>
      <c r="P949" s="34">
        <f t="shared" si="688"/>
        <v>0</v>
      </c>
      <c r="S949" s="4" t="s">
        <v>2164</v>
      </c>
    </row>
    <row r="950" spans="1:22" x14ac:dyDescent="0.25">
      <c r="A950" s="8" t="s">
        <v>504</v>
      </c>
      <c r="B950" s="4" t="str">
        <f>LEFT(A950,4)</f>
        <v>2501</v>
      </c>
      <c r="C950" s="104">
        <v>-373004</v>
      </c>
      <c r="D950" s="100">
        <v>2627</v>
      </c>
      <c r="E950" s="34"/>
      <c r="F950" s="34"/>
      <c r="G950" s="34">
        <f t="shared" si="685"/>
        <v>0</v>
      </c>
      <c r="H950" s="34">
        <f>VLOOKUP($B950,Utility!$A$5:$D$248,3,0)</f>
        <v>0</v>
      </c>
      <c r="I950" s="34">
        <f>VLOOKUP($B950,Utility!$A$5:$D$248,4,0)</f>
        <v>407155.4</v>
      </c>
      <c r="J950" s="34">
        <f t="shared" si="683"/>
        <v>-407155.4</v>
      </c>
      <c r="K950" s="34"/>
      <c r="L950" s="34"/>
      <c r="M950" s="34">
        <f t="shared" si="684"/>
        <v>0</v>
      </c>
      <c r="N950" s="34">
        <f t="shared" si="686"/>
        <v>0</v>
      </c>
      <c r="O950" s="34">
        <f t="shared" si="687"/>
        <v>407155.4</v>
      </c>
      <c r="P950" s="34">
        <f t="shared" si="688"/>
        <v>-407155.4</v>
      </c>
      <c r="R950" s="142">
        <f>P950+D950</f>
        <v>-404528.4</v>
      </c>
      <c r="S950" s="86">
        <v>31524</v>
      </c>
      <c r="T950" s="142">
        <f>SUM(R950:S950)</f>
        <v>-373004.4</v>
      </c>
    </row>
    <row r="951" spans="1:22" x14ac:dyDescent="0.25">
      <c r="A951" s="8" t="s">
        <v>505</v>
      </c>
      <c r="B951" s="4" t="str">
        <f>LEFT(A951,4)</f>
        <v>2504</v>
      </c>
      <c r="C951" s="104">
        <v>-61854</v>
      </c>
      <c r="D951" s="100">
        <v>284</v>
      </c>
      <c r="E951" s="34"/>
      <c r="F951" s="34"/>
      <c r="G951" s="34">
        <f t="shared" si="685"/>
        <v>0</v>
      </c>
      <c r="H951" s="34">
        <f>VLOOKUP($B951,Utility!$A$5:$D$248,3,0)</f>
        <v>0</v>
      </c>
      <c r="I951" s="34">
        <f>VLOOKUP($B951,Utility!$A$5:$D$248,4,0)</f>
        <v>65545.539999999994</v>
      </c>
      <c r="J951" s="34">
        <f t="shared" si="683"/>
        <v>-65545.539999999994</v>
      </c>
      <c r="K951" s="34"/>
      <c r="L951" s="34"/>
      <c r="M951" s="34">
        <f t="shared" si="684"/>
        <v>0</v>
      </c>
      <c r="N951" s="34">
        <f t="shared" si="686"/>
        <v>0</v>
      </c>
      <c r="O951" s="34">
        <f t="shared" si="687"/>
        <v>65545.539999999994</v>
      </c>
      <c r="P951" s="34">
        <f t="shared" si="688"/>
        <v>-65545.539999999994</v>
      </c>
      <c r="R951" s="142">
        <f t="shared" ref="R951:R952" si="709">P951+D951</f>
        <v>-65261.539999999994</v>
      </c>
      <c r="S951" s="86">
        <v>3408</v>
      </c>
      <c r="T951" s="142">
        <f t="shared" ref="T951:T952" si="710">SUM(R951:S951)</f>
        <v>-61853.539999999994</v>
      </c>
    </row>
    <row r="952" spans="1:22" x14ac:dyDescent="0.25">
      <c r="A952" s="8" t="s">
        <v>506</v>
      </c>
      <c r="B952" s="4" t="str">
        <f>LEFT(A952,4)</f>
        <v>2507</v>
      </c>
      <c r="C952" s="104">
        <v>-264119</v>
      </c>
      <c r="D952" s="100">
        <v>1601</v>
      </c>
      <c r="E952" s="34"/>
      <c r="F952" s="34"/>
      <c r="G952" s="34">
        <f t="shared" si="685"/>
        <v>0</v>
      </c>
      <c r="H952" s="34">
        <f>VLOOKUP($B952,Utility!$A$5:$D$248,3,0)</f>
        <v>0</v>
      </c>
      <c r="I952" s="34">
        <f>VLOOKUP($B952,Utility!$A$5:$D$248,4,0)</f>
        <v>284932.19</v>
      </c>
      <c r="J952" s="34">
        <f t="shared" si="683"/>
        <v>-284932.19</v>
      </c>
      <c r="K952" s="34"/>
      <c r="L952" s="34"/>
      <c r="M952" s="34">
        <f t="shared" si="684"/>
        <v>0</v>
      </c>
      <c r="N952" s="34">
        <f t="shared" si="686"/>
        <v>0</v>
      </c>
      <c r="O952" s="34">
        <f t="shared" si="687"/>
        <v>284932.19</v>
      </c>
      <c r="P952" s="34">
        <f t="shared" si="688"/>
        <v>-284932.19</v>
      </c>
      <c r="R952" s="142">
        <f t="shared" si="709"/>
        <v>-283331.19</v>
      </c>
      <c r="S952" s="86">
        <v>19212</v>
      </c>
      <c r="T952" s="142">
        <f t="shared" si="710"/>
        <v>-264119.19</v>
      </c>
    </row>
    <row r="953" spans="1:22" x14ac:dyDescent="0.25">
      <c r="A953" s="8" t="s">
        <v>8</v>
      </c>
      <c r="C953" s="103">
        <f t="shared" ref="C953:D953" si="711">SUM(C950:C952)</f>
        <v>-698977</v>
      </c>
      <c r="D953" s="99">
        <f t="shared" si="711"/>
        <v>4512</v>
      </c>
      <c r="E953" s="35">
        <f>SUM(E950:E952)</f>
        <v>0</v>
      </c>
      <c r="F953" s="35">
        <f t="shared" ref="F953:P953" si="712">SUM(F950:F952)</f>
        <v>0</v>
      </c>
      <c r="G953" s="35">
        <f t="shared" si="712"/>
        <v>0</v>
      </c>
      <c r="H953" s="35">
        <f t="shared" si="712"/>
        <v>0</v>
      </c>
      <c r="I953" s="35">
        <f t="shared" si="712"/>
        <v>757633.13</v>
      </c>
      <c r="J953" s="35">
        <f t="shared" si="712"/>
        <v>-757633.13</v>
      </c>
      <c r="K953" s="35">
        <f t="shared" si="712"/>
        <v>0</v>
      </c>
      <c r="L953" s="35">
        <f t="shared" si="712"/>
        <v>0</v>
      </c>
      <c r="M953" s="35">
        <f t="shared" si="712"/>
        <v>0</v>
      </c>
      <c r="N953" s="35">
        <f t="shared" si="712"/>
        <v>0</v>
      </c>
      <c r="O953" s="35">
        <f t="shared" si="712"/>
        <v>757633.13</v>
      </c>
      <c r="P953" s="35">
        <f t="shared" si="712"/>
        <v>-757633.13</v>
      </c>
    </row>
    <row r="954" spans="1:22" x14ac:dyDescent="0.25">
      <c r="C954" s="104"/>
      <c r="D954" s="100"/>
      <c r="E954" s="34"/>
      <c r="F954" s="34"/>
      <c r="G954" s="34">
        <f t="shared" si="685"/>
        <v>0</v>
      </c>
      <c r="H954" s="34"/>
      <c r="I954" s="34"/>
      <c r="J954" s="34">
        <f t="shared" si="683"/>
        <v>0</v>
      </c>
      <c r="K954" s="34"/>
      <c r="L954" s="34"/>
      <c r="M954" s="34">
        <f t="shared" si="684"/>
        <v>0</v>
      </c>
      <c r="N954" s="34">
        <f t="shared" si="686"/>
        <v>0</v>
      </c>
      <c r="O954" s="34">
        <f t="shared" si="687"/>
        <v>0</v>
      </c>
      <c r="P954" s="34">
        <f t="shared" si="688"/>
        <v>0</v>
      </c>
    </row>
    <row r="955" spans="1:22" x14ac:dyDescent="0.25">
      <c r="A955" s="9" t="s">
        <v>507</v>
      </c>
      <c r="B955" s="12" t="str">
        <f>LEFT(A955,5)</f>
        <v>NN. 1</v>
      </c>
      <c r="C955" s="103">
        <f t="shared" ref="C955:D955" si="713">C948+C953</f>
        <v>-881614</v>
      </c>
      <c r="D955" s="99">
        <f t="shared" si="713"/>
        <v>-53203</v>
      </c>
      <c r="E955" s="35">
        <f>E948+E953</f>
        <v>0</v>
      </c>
      <c r="F955" s="35">
        <f t="shared" ref="F955:P955" si="714">F948+F953</f>
        <v>151525.56</v>
      </c>
      <c r="G955" s="35">
        <f t="shared" si="714"/>
        <v>-151525.56</v>
      </c>
      <c r="H955" s="35">
        <f t="shared" si="714"/>
        <v>0</v>
      </c>
      <c r="I955" s="35">
        <f t="shared" si="714"/>
        <v>757633.13</v>
      </c>
      <c r="J955" s="35">
        <f t="shared" si="714"/>
        <v>-757633.13</v>
      </c>
      <c r="K955" s="35">
        <f t="shared" si="714"/>
        <v>0</v>
      </c>
      <c r="L955" s="35">
        <f t="shared" si="714"/>
        <v>0</v>
      </c>
      <c r="M955" s="35">
        <f t="shared" si="714"/>
        <v>0</v>
      </c>
      <c r="N955" s="35">
        <f t="shared" si="714"/>
        <v>0</v>
      </c>
      <c r="O955" s="35">
        <f t="shared" si="714"/>
        <v>909158.69</v>
      </c>
      <c r="P955" s="35">
        <f t="shared" si="714"/>
        <v>-909158.69</v>
      </c>
    </row>
    <row r="956" spans="1:22" hidden="1" x14ac:dyDescent="0.25">
      <c r="E956" s="34"/>
      <c r="F956" s="34"/>
      <c r="G956" s="34">
        <f t="shared" si="685"/>
        <v>0</v>
      </c>
      <c r="H956" s="34"/>
      <c r="I956" s="34"/>
      <c r="J956" s="34">
        <f t="shared" si="683"/>
        <v>0</v>
      </c>
      <c r="K956" s="34"/>
      <c r="L956" s="34"/>
      <c r="M956" s="34">
        <f t="shared" si="684"/>
        <v>0</v>
      </c>
      <c r="N956" s="34">
        <f t="shared" si="686"/>
        <v>0</v>
      </c>
      <c r="O956" s="34">
        <f t="shared" si="687"/>
        <v>0</v>
      </c>
      <c r="P956" s="34">
        <f t="shared" si="688"/>
        <v>0</v>
      </c>
    </row>
    <row r="957" spans="1:22" hidden="1" x14ac:dyDescent="0.25">
      <c r="A957" s="8" t="s">
        <v>508</v>
      </c>
      <c r="B957" s="4" t="str">
        <f>LEFT(A957,4)</f>
        <v>3010</v>
      </c>
      <c r="E957" s="34">
        <f>VLOOKUP($B957,Town_Sage!$A$5:$D$399,3,0)</f>
        <v>0</v>
      </c>
      <c r="F957" s="34">
        <f>VLOOKUP($B957,Town_Sage!$A$5:$D$399,4,0)</f>
        <v>772841.38</v>
      </c>
      <c r="G957" s="34">
        <f t="shared" si="685"/>
        <v>-772841.38</v>
      </c>
      <c r="H957" s="34"/>
      <c r="I957" s="34"/>
      <c r="J957" s="34">
        <f t="shared" si="683"/>
        <v>0</v>
      </c>
      <c r="K957" s="34"/>
      <c r="L957" s="34"/>
      <c r="M957" s="34">
        <f t="shared" si="684"/>
        <v>0</v>
      </c>
      <c r="N957" s="34">
        <f t="shared" si="686"/>
        <v>0</v>
      </c>
      <c r="O957" s="34">
        <f t="shared" si="687"/>
        <v>772841.38</v>
      </c>
      <c r="P957" s="34">
        <f t="shared" si="688"/>
        <v>-772841.38</v>
      </c>
    </row>
    <row r="958" spans="1:22" hidden="1" x14ac:dyDescent="0.25">
      <c r="A958" s="8" t="s">
        <v>509</v>
      </c>
      <c r="B958" s="4" t="str">
        <f>LEFT(A958,4)</f>
        <v>3015</v>
      </c>
      <c r="E958" s="34">
        <f>VLOOKUP($B958,Town_Sage!$A$5:$D$399,3,0)</f>
        <v>59835.85</v>
      </c>
      <c r="F958" s="34">
        <f>VLOOKUP($B958,Town_Sage!$A$5:$D$399,4,0)</f>
        <v>0</v>
      </c>
      <c r="G958" s="34">
        <f t="shared" si="685"/>
        <v>59835.85</v>
      </c>
      <c r="H958" s="34"/>
      <c r="I958" s="34"/>
      <c r="J958" s="34">
        <f t="shared" si="683"/>
        <v>0</v>
      </c>
      <c r="K958" s="34"/>
      <c r="L958" s="34"/>
      <c r="M958" s="34">
        <f t="shared" si="684"/>
        <v>0</v>
      </c>
      <c r="N958" s="34">
        <f t="shared" si="686"/>
        <v>59835.85</v>
      </c>
      <c r="O958" s="34">
        <f t="shared" si="687"/>
        <v>0</v>
      </c>
      <c r="P958" s="34">
        <f t="shared" si="688"/>
        <v>59835.85</v>
      </c>
    </row>
    <row r="959" spans="1:22" hidden="1" x14ac:dyDescent="0.25">
      <c r="A959" s="8" t="s">
        <v>5</v>
      </c>
      <c r="C959" s="103">
        <f t="shared" ref="C959:D959" si="715">SUM(C957:C958)</f>
        <v>0</v>
      </c>
      <c r="D959" s="99">
        <f t="shared" si="715"/>
        <v>0</v>
      </c>
      <c r="E959" s="35">
        <f>SUM(E957:E958)</f>
        <v>59835.85</v>
      </c>
      <c r="F959" s="35">
        <f t="shared" ref="F959:P959" si="716">SUM(F957:F958)</f>
        <v>772841.38</v>
      </c>
      <c r="G959" s="35">
        <f t="shared" si="716"/>
        <v>-713005.53</v>
      </c>
      <c r="H959" s="35">
        <f t="shared" si="716"/>
        <v>0</v>
      </c>
      <c r="I959" s="35">
        <f t="shared" si="716"/>
        <v>0</v>
      </c>
      <c r="J959" s="35">
        <f t="shared" si="716"/>
        <v>0</v>
      </c>
      <c r="K959" s="35">
        <f t="shared" si="716"/>
        <v>0</v>
      </c>
      <c r="L959" s="35">
        <f t="shared" si="716"/>
        <v>0</v>
      </c>
      <c r="M959" s="35">
        <f t="shared" si="716"/>
        <v>0</v>
      </c>
      <c r="N959" s="35">
        <f t="shared" si="716"/>
        <v>59835.85</v>
      </c>
      <c r="O959" s="35">
        <f t="shared" si="716"/>
        <v>772841.38</v>
      </c>
      <c r="P959" s="35">
        <f t="shared" si="716"/>
        <v>-713005.53</v>
      </c>
    </row>
    <row r="960" spans="1:22" hidden="1" x14ac:dyDescent="0.25">
      <c r="E960" s="34"/>
      <c r="F960" s="34"/>
      <c r="G960" s="34">
        <f t="shared" si="685"/>
        <v>0</v>
      </c>
      <c r="H960" s="34"/>
      <c r="I960" s="34"/>
      <c r="J960" s="34">
        <f t="shared" si="683"/>
        <v>0</v>
      </c>
      <c r="K960" s="34"/>
      <c r="L960" s="34"/>
      <c r="M960" s="34">
        <f t="shared" si="684"/>
        <v>0</v>
      </c>
      <c r="N960" s="34">
        <f t="shared" si="686"/>
        <v>0</v>
      </c>
      <c r="O960" s="34">
        <f t="shared" si="687"/>
        <v>0</v>
      </c>
      <c r="P960" s="34">
        <f t="shared" si="688"/>
        <v>0</v>
      </c>
    </row>
    <row r="961" spans="1:16" hidden="1" x14ac:dyDescent="0.25">
      <c r="A961" s="8" t="s">
        <v>510</v>
      </c>
      <c r="B961" s="4" t="str">
        <f>LEFT(A961,4)</f>
        <v>3010</v>
      </c>
      <c r="E961" s="34"/>
      <c r="F961" s="34"/>
      <c r="G961" s="34">
        <f t="shared" si="685"/>
        <v>0</v>
      </c>
      <c r="H961" s="34">
        <f>VLOOKUP($B961,Utility!$A$5:$D$248,3,0)</f>
        <v>0</v>
      </c>
      <c r="I961" s="34">
        <f>VLOOKUP($B961,Utility!$A$5:$D$248,4,0)</f>
        <v>487147.8</v>
      </c>
      <c r="J961" s="34">
        <f t="shared" si="683"/>
        <v>-487147.8</v>
      </c>
      <c r="K961" s="34"/>
      <c r="L961" s="34"/>
      <c r="M961" s="34">
        <f t="shared" si="684"/>
        <v>0</v>
      </c>
      <c r="N961" s="34">
        <f t="shared" si="686"/>
        <v>0</v>
      </c>
      <c r="O961" s="34">
        <f t="shared" si="687"/>
        <v>487147.8</v>
      </c>
      <c r="P961" s="34">
        <f t="shared" si="688"/>
        <v>-487147.8</v>
      </c>
    </row>
    <row r="962" spans="1:16" hidden="1" x14ac:dyDescent="0.25">
      <c r="A962" s="8" t="s">
        <v>511</v>
      </c>
      <c r="B962" s="4" t="str">
        <f>LEFT(A962,4)</f>
        <v>3015</v>
      </c>
      <c r="E962" s="34"/>
      <c r="F962" s="34"/>
      <c r="G962" s="34">
        <f t="shared" si="685"/>
        <v>0</v>
      </c>
      <c r="H962" s="34">
        <f>VLOOKUP($B962,Utility!$A$5:$D$248,3,0)</f>
        <v>657683.43000000005</v>
      </c>
      <c r="I962" s="34">
        <f>VLOOKUP($B962,Utility!$A$5:$D$248,4,0)</f>
        <v>0</v>
      </c>
      <c r="J962" s="34">
        <f t="shared" si="683"/>
        <v>657683.43000000005</v>
      </c>
      <c r="K962" s="34"/>
      <c r="L962" s="34"/>
      <c r="M962" s="34">
        <f t="shared" si="684"/>
        <v>0</v>
      </c>
      <c r="N962" s="34">
        <f t="shared" si="686"/>
        <v>657683.43000000005</v>
      </c>
      <c r="O962" s="34">
        <f t="shared" si="687"/>
        <v>0</v>
      </c>
      <c r="P962" s="34">
        <f t="shared" si="688"/>
        <v>657683.43000000005</v>
      </c>
    </row>
    <row r="963" spans="1:16" hidden="1" x14ac:dyDescent="0.25">
      <c r="A963" s="8" t="s">
        <v>8</v>
      </c>
      <c r="C963" s="103">
        <f t="shared" ref="C963:D963" si="717">SUM(C961:C962)</f>
        <v>0</v>
      </c>
      <c r="D963" s="99">
        <f t="shared" si="717"/>
        <v>0</v>
      </c>
      <c r="E963" s="35">
        <f>SUM(E961:E962)</f>
        <v>0</v>
      </c>
      <c r="F963" s="35">
        <f t="shared" ref="F963:P963" si="718">SUM(F961:F962)</f>
        <v>0</v>
      </c>
      <c r="G963" s="35">
        <f t="shared" si="718"/>
        <v>0</v>
      </c>
      <c r="H963" s="35">
        <f t="shared" si="718"/>
        <v>657683.43000000005</v>
      </c>
      <c r="I963" s="35">
        <f t="shared" si="718"/>
        <v>487147.8</v>
      </c>
      <c r="J963" s="35">
        <f t="shared" si="718"/>
        <v>170535.63000000006</v>
      </c>
      <c r="K963" s="35">
        <f t="shared" si="718"/>
        <v>0</v>
      </c>
      <c r="L963" s="35">
        <f t="shared" si="718"/>
        <v>0</v>
      </c>
      <c r="M963" s="35">
        <f t="shared" si="718"/>
        <v>0</v>
      </c>
      <c r="N963" s="35">
        <f t="shared" si="718"/>
        <v>657683.43000000005</v>
      </c>
      <c r="O963" s="35">
        <f t="shared" si="718"/>
        <v>487147.8</v>
      </c>
      <c r="P963" s="35">
        <f t="shared" si="718"/>
        <v>170535.63000000006</v>
      </c>
    </row>
    <row r="964" spans="1:16" hidden="1" x14ac:dyDescent="0.25">
      <c r="C964" s="104"/>
      <c r="D964" s="100"/>
      <c r="E964" s="34"/>
      <c r="F964" s="34"/>
      <c r="G964" s="34">
        <f t="shared" si="685"/>
        <v>0</v>
      </c>
      <c r="H964" s="34"/>
      <c r="I964" s="34"/>
      <c r="J964" s="34">
        <f t="shared" si="683"/>
        <v>0</v>
      </c>
      <c r="K964" s="34"/>
      <c r="L964" s="34"/>
      <c r="M964" s="34">
        <f t="shared" si="684"/>
        <v>0</v>
      </c>
      <c r="N964" s="34">
        <f t="shared" si="686"/>
        <v>0</v>
      </c>
      <c r="O964" s="34">
        <f t="shared" si="687"/>
        <v>0</v>
      </c>
      <c r="P964" s="34">
        <f t="shared" si="688"/>
        <v>0</v>
      </c>
    </row>
    <row r="965" spans="1:16" hidden="1" x14ac:dyDescent="0.25">
      <c r="A965" s="8" t="s">
        <v>512</v>
      </c>
      <c r="B965" s="4" t="str">
        <f>LEFT(A965,4)</f>
        <v>3010</v>
      </c>
      <c r="C965" s="104"/>
      <c r="D965" s="100"/>
      <c r="E965" s="34"/>
      <c r="F965" s="34"/>
      <c r="G965" s="34">
        <f t="shared" si="685"/>
        <v>0</v>
      </c>
      <c r="H965" s="34"/>
      <c r="I965" s="34"/>
      <c r="J965" s="34">
        <f t="shared" si="683"/>
        <v>0</v>
      </c>
      <c r="K965" s="34">
        <f>VLOOKUP($B965,Arena_Sage!$A$5:$D$189,3,0)</f>
        <v>204108.52</v>
      </c>
      <c r="L965" s="34">
        <f>VLOOKUP($B965,Arena_Sage!$A$5:$D$189,4,0)</f>
        <v>0</v>
      </c>
      <c r="M965" s="34">
        <f t="shared" si="684"/>
        <v>204108.52</v>
      </c>
      <c r="N965" s="34">
        <f t="shared" si="686"/>
        <v>204108.52</v>
      </c>
      <c r="O965" s="34">
        <f t="shared" si="687"/>
        <v>0</v>
      </c>
      <c r="P965" s="34">
        <f t="shared" si="688"/>
        <v>204108.52</v>
      </c>
    </row>
    <row r="966" spans="1:16" hidden="1" x14ac:dyDescent="0.25">
      <c r="A966" s="8" t="s">
        <v>12</v>
      </c>
      <c r="C966" s="103">
        <f t="shared" ref="C966:D966" si="719">C965</f>
        <v>0</v>
      </c>
      <c r="D966" s="99">
        <f t="shared" si="719"/>
        <v>0</v>
      </c>
      <c r="E966" s="35">
        <f>E965</f>
        <v>0</v>
      </c>
      <c r="F966" s="35">
        <f t="shared" ref="F966:P966" si="720">F965</f>
        <v>0</v>
      </c>
      <c r="G966" s="35">
        <f t="shared" si="720"/>
        <v>0</v>
      </c>
      <c r="H966" s="35">
        <f t="shared" si="720"/>
        <v>0</v>
      </c>
      <c r="I966" s="35">
        <f t="shared" si="720"/>
        <v>0</v>
      </c>
      <c r="J966" s="35">
        <f t="shared" si="720"/>
        <v>0</v>
      </c>
      <c r="K966" s="35">
        <f t="shared" si="720"/>
        <v>204108.52</v>
      </c>
      <c r="L966" s="35">
        <f t="shared" si="720"/>
        <v>0</v>
      </c>
      <c r="M966" s="35">
        <f t="shared" si="720"/>
        <v>204108.52</v>
      </c>
      <c r="N966" s="35">
        <f t="shared" si="720"/>
        <v>204108.52</v>
      </c>
      <c r="O966" s="35">
        <f t="shared" si="720"/>
        <v>0</v>
      </c>
      <c r="P966" s="35">
        <f t="shared" si="720"/>
        <v>204108.52</v>
      </c>
    </row>
    <row r="967" spans="1:16" hidden="1" x14ac:dyDescent="0.25">
      <c r="C967" s="104"/>
      <c r="D967" s="100"/>
      <c r="E967" s="34"/>
      <c r="F967" s="34"/>
      <c r="G967" s="34">
        <f t="shared" si="685"/>
        <v>0</v>
      </c>
      <c r="H967" s="34"/>
      <c r="I967" s="34"/>
      <c r="J967" s="34">
        <f t="shared" si="683"/>
        <v>0</v>
      </c>
      <c r="K967" s="34"/>
      <c r="L967" s="34"/>
      <c r="M967" s="34">
        <f t="shared" si="684"/>
        <v>0</v>
      </c>
      <c r="N967" s="34">
        <f t="shared" si="686"/>
        <v>0</v>
      </c>
      <c r="O967" s="34">
        <f t="shared" si="687"/>
        <v>0</v>
      </c>
      <c r="P967" s="34">
        <f t="shared" si="688"/>
        <v>0</v>
      </c>
    </row>
    <row r="968" spans="1:16" hidden="1" x14ac:dyDescent="0.25">
      <c r="A968" s="9" t="s">
        <v>513</v>
      </c>
      <c r="B968" s="12" t="str">
        <f>LEFT(A968,5)</f>
        <v>TT. 1</v>
      </c>
      <c r="C968" s="103">
        <f t="shared" ref="C968:D968" si="721">C959+C963+C966</f>
        <v>0</v>
      </c>
      <c r="D968" s="99">
        <f t="shared" si="721"/>
        <v>0</v>
      </c>
      <c r="E968" s="35">
        <f>E959+E963+E966</f>
        <v>59835.85</v>
      </c>
      <c r="F968" s="35">
        <f t="shared" ref="F968:P968" si="722">F959+F963+F966</f>
        <v>772841.38</v>
      </c>
      <c r="G968" s="35">
        <f t="shared" si="722"/>
        <v>-713005.53</v>
      </c>
      <c r="H968" s="35">
        <f t="shared" si="722"/>
        <v>657683.43000000005</v>
      </c>
      <c r="I968" s="35">
        <f t="shared" si="722"/>
        <v>487147.8</v>
      </c>
      <c r="J968" s="35">
        <f t="shared" si="722"/>
        <v>170535.63000000006</v>
      </c>
      <c r="K968" s="35">
        <f t="shared" si="722"/>
        <v>204108.52</v>
      </c>
      <c r="L968" s="35">
        <f t="shared" si="722"/>
        <v>0</v>
      </c>
      <c r="M968" s="35">
        <f t="shared" si="722"/>
        <v>204108.52</v>
      </c>
      <c r="N968" s="35">
        <f t="shared" si="722"/>
        <v>921627.8</v>
      </c>
      <c r="O968" s="35">
        <f t="shared" si="722"/>
        <v>1259989.18</v>
      </c>
      <c r="P968" s="35">
        <f t="shared" si="722"/>
        <v>-338361.37999999989</v>
      </c>
    </row>
    <row r="969" spans="1:16" hidden="1" x14ac:dyDescent="0.25">
      <c r="E969" s="34"/>
      <c r="F969" s="34"/>
      <c r="G969" s="34">
        <f t="shared" si="685"/>
        <v>0</v>
      </c>
      <c r="H969" s="34"/>
      <c r="I969" s="34"/>
      <c r="J969" s="34">
        <f t="shared" si="683"/>
        <v>0</v>
      </c>
      <c r="K969" s="34"/>
      <c r="L969" s="34"/>
      <c r="M969" s="34">
        <f t="shared" si="684"/>
        <v>0</v>
      </c>
      <c r="N969" s="34">
        <f t="shared" si="686"/>
        <v>0</v>
      </c>
      <c r="O969" s="34">
        <f t="shared" si="687"/>
        <v>0</v>
      </c>
      <c r="P969" s="34">
        <f t="shared" si="688"/>
        <v>0</v>
      </c>
    </row>
    <row r="970" spans="1:16" hidden="1" x14ac:dyDescent="0.25">
      <c r="A970" s="8" t="s">
        <v>514</v>
      </c>
      <c r="B970" s="4" t="str">
        <f>LEFT(A970,4)</f>
        <v>3020</v>
      </c>
      <c r="E970" s="34">
        <f>VLOOKUP($B970,Town_Sage!$A$5:$D$399,3,0)</f>
        <v>0</v>
      </c>
      <c r="F970" s="34">
        <f>VLOOKUP($B970,Town_Sage!$A$5:$D$399,4,0)</f>
        <v>1574290.32</v>
      </c>
      <c r="G970" s="34">
        <f t="shared" si="685"/>
        <v>-1574290.32</v>
      </c>
      <c r="H970" s="34"/>
      <c r="I970" s="34"/>
      <c r="J970" s="34">
        <f t="shared" si="683"/>
        <v>0</v>
      </c>
      <c r="K970" s="34"/>
      <c r="L970" s="34"/>
      <c r="M970" s="34">
        <f t="shared" si="684"/>
        <v>0</v>
      </c>
      <c r="N970" s="34">
        <f t="shared" si="686"/>
        <v>0</v>
      </c>
      <c r="O970" s="34">
        <f t="shared" si="687"/>
        <v>1574290.32</v>
      </c>
      <c r="P970" s="34">
        <f t="shared" si="688"/>
        <v>-1574290.32</v>
      </c>
    </row>
    <row r="971" spans="1:16" hidden="1" x14ac:dyDescent="0.25">
      <c r="A971" s="8" t="s">
        <v>5</v>
      </c>
      <c r="C971" s="103">
        <f t="shared" ref="C971:D971" si="723">C970</f>
        <v>0</v>
      </c>
      <c r="D971" s="99">
        <f t="shared" si="723"/>
        <v>0</v>
      </c>
      <c r="E971" s="35">
        <f>E970</f>
        <v>0</v>
      </c>
      <c r="F971" s="35">
        <f t="shared" ref="F971:P971" si="724">F970</f>
        <v>1574290.32</v>
      </c>
      <c r="G971" s="35">
        <f t="shared" si="724"/>
        <v>-1574290.32</v>
      </c>
      <c r="H971" s="35">
        <f>H970</f>
        <v>0</v>
      </c>
      <c r="I971" s="35">
        <f t="shared" si="724"/>
        <v>0</v>
      </c>
      <c r="J971" s="35">
        <f t="shared" si="724"/>
        <v>0</v>
      </c>
      <c r="K971" s="35">
        <f t="shared" si="724"/>
        <v>0</v>
      </c>
      <c r="L971" s="35">
        <f t="shared" si="724"/>
        <v>0</v>
      </c>
      <c r="M971" s="35">
        <f t="shared" si="724"/>
        <v>0</v>
      </c>
      <c r="N971" s="35">
        <f t="shared" si="724"/>
        <v>0</v>
      </c>
      <c r="O971" s="35">
        <f t="shared" si="724"/>
        <v>1574290.32</v>
      </c>
      <c r="P971" s="35">
        <f t="shared" si="724"/>
        <v>-1574290.32</v>
      </c>
    </row>
    <row r="972" spans="1:16" hidden="1" x14ac:dyDescent="0.25">
      <c r="C972" s="104"/>
      <c r="D972" s="100"/>
      <c r="E972" s="34"/>
      <c r="F972" s="34"/>
      <c r="G972" s="34">
        <f t="shared" si="685"/>
        <v>0</v>
      </c>
      <c r="H972" s="34"/>
      <c r="I972" s="34"/>
      <c r="J972" s="34">
        <f t="shared" si="683"/>
        <v>0</v>
      </c>
      <c r="K972" s="34"/>
      <c r="L972" s="34"/>
      <c r="M972" s="34">
        <f t="shared" si="684"/>
        <v>0</v>
      </c>
      <c r="N972" s="34">
        <f t="shared" si="686"/>
        <v>0</v>
      </c>
      <c r="O972" s="34">
        <f t="shared" si="687"/>
        <v>0</v>
      </c>
      <c r="P972" s="34">
        <f t="shared" si="688"/>
        <v>0</v>
      </c>
    </row>
    <row r="973" spans="1:16" hidden="1" x14ac:dyDescent="0.25">
      <c r="A973" s="8" t="s">
        <v>515</v>
      </c>
      <c r="B973" s="4" t="str">
        <f>LEFT(A973,4)</f>
        <v>3020</v>
      </c>
      <c r="C973" s="104"/>
      <c r="D973" s="100"/>
      <c r="E973" s="34"/>
      <c r="F973" s="34"/>
      <c r="G973" s="34">
        <f t="shared" si="685"/>
        <v>0</v>
      </c>
      <c r="H973" s="34">
        <f>VLOOKUP($B973,Utility!$A$5:$D$248,3,0)</f>
        <v>0</v>
      </c>
      <c r="I973" s="34">
        <f>VLOOKUP($B973,Utility!$A$5:$D$248,4,0)</f>
        <v>6301578.8399999999</v>
      </c>
      <c r="J973" s="34">
        <f t="shared" si="683"/>
        <v>-6301578.8399999999</v>
      </c>
      <c r="K973" s="34"/>
      <c r="L973" s="34"/>
      <c r="M973" s="34">
        <f t="shared" si="684"/>
        <v>0</v>
      </c>
      <c r="N973" s="34">
        <f t="shared" si="686"/>
        <v>0</v>
      </c>
      <c r="O973" s="34">
        <f t="shared" si="687"/>
        <v>6301578.8399999999</v>
      </c>
      <c r="P973" s="34">
        <f t="shared" si="688"/>
        <v>-6301578.8399999999</v>
      </c>
    </row>
    <row r="974" spans="1:16" hidden="1" x14ac:dyDescent="0.25">
      <c r="A974" s="8" t="s">
        <v>8</v>
      </c>
      <c r="C974" s="103">
        <f t="shared" ref="C974:D974" si="725">C973</f>
        <v>0</v>
      </c>
      <c r="D974" s="99">
        <f t="shared" si="725"/>
        <v>0</v>
      </c>
      <c r="E974" s="35">
        <f>E973</f>
        <v>0</v>
      </c>
      <c r="F974" s="35">
        <f t="shared" ref="F974:P974" si="726">F973</f>
        <v>0</v>
      </c>
      <c r="G974" s="35">
        <f t="shared" si="726"/>
        <v>0</v>
      </c>
      <c r="H974" s="35">
        <f t="shared" si="726"/>
        <v>0</v>
      </c>
      <c r="I974" s="35">
        <f t="shared" si="726"/>
        <v>6301578.8399999999</v>
      </c>
      <c r="J974" s="35">
        <f t="shared" si="726"/>
        <v>-6301578.8399999999</v>
      </c>
      <c r="K974" s="35">
        <f t="shared" si="726"/>
        <v>0</v>
      </c>
      <c r="L974" s="35">
        <f t="shared" si="726"/>
        <v>0</v>
      </c>
      <c r="M974" s="35">
        <f t="shared" si="726"/>
        <v>0</v>
      </c>
      <c r="N974" s="35">
        <f t="shared" si="726"/>
        <v>0</v>
      </c>
      <c r="O974" s="35">
        <f t="shared" si="726"/>
        <v>6301578.8399999999</v>
      </c>
      <c r="P974" s="35">
        <f t="shared" si="726"/>
        <v>-6301578.8399999999</v>
      </c>
    </row>
    <row r="975" spans="1:16" hidden="1" x14ac:dyDescent="0.25">
      <c r="C975" s="104"/>
      <c r="D975" s="100"/>
      <c r="E975" s="34"/>
      <c r="F975" s="34"/>
      <c r="G975" s="34">
        <f t="shared" si="685"/>
        <v>0</v>
      </c>
      <c r="H975" s="34"/>
      <c r="I975" s="34"/>
      <c r="J975" s="34">
        <f t="shared" si="683"/>
        <v>0</v>
      </c>
      <c r="K975" s="34"/>
      <c r="L975" s="34"/>
      <c r="M975" s="34">
        <f t="shared" si="684"/>
        <v>0</v>
      </c>
      <c r="N975" s="34">
        <f t="shared" si="686"/>
        <v>0</v>
      </c>
      <c r="O975" s="34">
        <f t="shared" si="687"/>
        <v>0</v>
      </c>
      <c r="P975" s="34">
        <f t="shared" si="688"/>
        <v>0</v>
      </c>
    </row>
    <row r="976" spans="1:16" hidden="1" x14ac:dyDescent="0.25">
      <c r="A976" s="9" t="s">
        <v>516</v>
      </c>
      <c r="B976" s="12" t="str">
        <f>LEFT(A976,5)</f>
        <v>YY. 1</v>
      </c>
      <c r="C976" s="103">
        <f t="shared" ref="C976:D976" si="727">C971+C974</f>
        <v>0</v>
      </c>
      <c r="D976" s="99">
        <f t="shared" si="727"/>
        <v>0</v>
      </c>
      <c r="E976" s="35">
        <f>E971+E974</f>
        <v>0</v>
      </c>
      <c r="F976" s="35">
        <f t="shared" ref="F976:O976" si="728">F971+F974</f>
        <v>1574290.32</v>
      </c>
      <c r="G976" s="35">
        <f t="shared" si="728"/>
        <v>-1574290.32</v>
      </c>
      <c r="H976" s="35">
        <f t="shared" si="728"/>
        <v>0</v>
      </c>
      <c r="I976" s="35">
        <f t="shared" si="728"/>
        <v>6301578.8399999999</v>
      </c>
      <c r="J976" s="35">
        <f t="shared" si="728"/>
        <v>-6301578.8399999999</v>
      </c>
      <c r="K976" s="35">
        <f t="shared" si="728"/>
        <v>0</v>
      </c>
      <c r="L976" s="35">
        <f t="shared" si="728"/>
        <v>0</v>
      </c>
      <c r="M976" s="35">
        <f t="shared" si="728"/>
        <v>0</v>
      </c>
      <c r="N976" s="35">
        <f t="shared" si="728"/>
        <v>0</v>
      </c>
      <c r="O976" s="35">
        <f t="shared" si="728"/>
        <v>7875869.1600000001</v>
      </c>
      <c r="P976" s="35">
        <f>P971+P974</f>
        <v>-7875869.1600000001</v>
      </c>
    </row>
    <row r="977" spans="1:21" x14ac:dyDescent="0.25"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</row>
    <row r="978" spans="1:21" x14ac:dyDescent="0.25"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</row>
    <row r="979" spans="1:21" x14ac:dyDescent="0.25">
      <c r="A979" s="8" t="s">
        <v>2057</v>
      </c>
      <c r="B979" s="4" t="str">
        <f t="shared" ref="B979:B980" si="729">LEFT(A979,4)</f>
        <v>5340</v>
      </c>
      <c r="C979" s="105">
        <v>222500</v>
      </c>
      <c r="D979" s="101"/>
      <c r="E979" s="34">
        <f>VLOOKUP($B979,Town_Sage!$A$5:$D$399,3,0)</f>
        <v>176372.9</v>
      </c>
      <c r="F979" s="34">
        <f>VLOOKUP($B979,Town_Sage!$A$5:$D$399,4,0)</f>
        <v>0</v>
      </c>
      <c r="G979" s="34">
        <f>IF(E979&gt;0,E979,-F979)</f>
        <v>176372.9</v>
      </c>
      <c r="H979" s="34"/>
      <c r="I979" s="34"/>
      <c r="J979" s="34">
        <f t="shared" ref="J979:J980" si="730">IF(H979&gt;0,H979,-I979)</f>
        <v>0</v>
      </c>
      <c r="K979" s="34"/>
      <c r="L979" s="34"/>
      <c r="M979" s="34">
        <f t="shared" ref="M979:M980" si="731">IF(K979&gt;0,K979,-L979)</f>
        <v>0</v>
      </c>
      <c r="N979" s="34">
        <f t="shared" ref="N979:N980" si="732">E979+H979+K979</f>
        <v>176372.9</v>
      </c>
      <c r="O979" s="34">
        <f t="shared" ref="O979:O980" si="733">F979+I979+L979</f>
        <v>0</v>
      </c>
      <c r="P979" s="34">
        <f t="shared" ref="P979:P980" si="734">IF(N979&gt;0,N979,-O979)</f>
        <v>176372.9</v>
      </c>
      <c r="R979" s="4" t="s">
        <v>2091</v>
      </c>
      <c r="S979" s="86" t="s">
        <v>2165</v>
      </c>
      <c r="T979" s="86"/>
      <c r="U979" s="86"/>
    </row>
    <row r="980" spans="1:21" x14ac:dyDescent="0.25">
      <c r="A980" s="8" t="s">
        <v>2058</v>
      </c>
      <c r="B980" s="4" t="str">
        <f t="shared" si="729"/>
        <v>5433</v>
      </c>
      <c r="C980" s="105"/>
      <c r="D980" s="101"/>
      <c r="E980" s="34">
        <f>VLOOKUP($B980,Town_Sage!$A$5:$D$399,3,0)</f>
        <v>29348.080000000002</v>
      </c>
      <c r="F980" s="34">
        <f>VLOOKUP($B980,Town_Sage!$A$5:$D$399,4,0)</f>
        <v>0</v>
      </c>
      <c r="G980" s="34">
        <f t="shared" ref="G980" si="735">IF(E980&gt;0,E980,-F980)</f>
        <v>29348.080000000002</v>
      </c>
      <c r="H980" s="34"/>
      <c r="I980" s="34"/>
      <c r="J980" s="34">
        <f t="shared" si="730"/>
        <v>0</v>
      </c>
      <c r="K980" s="34"/>
      <c r="L980" s="34"/>
      <c r="M980" s="34">
        <f t="shared" si="731"/>
        <v>0</v>
      </c>
      <c r="N980" s="34">
        <f t="shared" si="732"/>
        <v>29348.080000000002</v>
      </c>
      <c r="O980" s="34">
        <f t="shared" si="733"/>
        <v>0</v>
      </c>
      <c r="P980" s="34">
        <f t="shared" si="734"/>
        <v>29348.080000000002</v>
      </c>
      <c r="R980" s="106"/>
      <c r="S980" s="144" t="s">
        <v>2166</v>
      </c>
      <c r="T980" s="86"/>
      <c r="U980" s="86"/>
    </row>
    <row r="981" spans="1:21" x14ac:dyDescent="0.25">
      <c r="A981" s="12" t="s">
        <v>5</v>
      </c>
      <c r="C981" s="103">
        <f t="shared" ref="C981:D981" si="736">SUM(C979:C980)</f>
        <v>222500</v>
      </c>
      <c r="D981" s="99">
        <f t="shared" si="736"/>
        <v>0</v>
      </c>
      <c r="E981" s="35">
        <f>SUM(E979:E980)</f>
        <v>205720.97999999998</v>
      </c>
      <c r="F981" s="35">
        <f t="shared" ref="F981:G981" si="737">SUM(F979:F980)</f>
        <v>0</v>
      </c>
      <c r="G981" s="35">
        <f t="shared" si="737"/>
        <v>205720.97999999998</v>
      </c>
      <c r="H981" s="35">
        <f t="shared" ref="H981" si="738">SUM(H979:H980)</f>
        <v>0</v>
      </c>
      <c r="I981" s="35">
        <f t="shared" ref="I981" si="739">SUM(I979:I980)</f>
        <v>0</v>
      </c>
      <c r="J981" s="35">
        <f t="shared" ref="J981" si="740">SUM(J979:J980)</f>
        <v>0</v>
      </c>
      <c r="K981" s="35">
        <f t="shared" ref="K981" si="741">SUM(K979:K980)</f>
        <v>0</v>
      </c>
      <c r="L981" s="35">
        <f t="shared" ref="L981" si="742">SUM(L979:L980)</f>
        <v>0</v>
      </c>
      <c r="M981" s="35">
        <f t="shared" ref="M981" si="743">SUM(M979:M980)</f>
        <v>0</v>
      </c>
      <c r="N981" s="35">
        <f t="shared" ref="N981" si="744">SUM(N979:N980)</f>
        <v>205720.97999999998</v>
      </c>
      <c r="O981" s="35">
        <f t="shared" ref="O981" si="745">SUM(O979:O980)</f>
        <v>0</v>
      </c>
      <c r="P981" s="35">
        <f t="shared" ref="P981" si="746">SUM(P979:P980)</f>
        <v>205720.97999999998</v>
      </c>
      <c r="R981" s="106">
        <f>P981/1.1*0.1</f>
        <v>18701.907272727269</v>
      </c>
      <c r="S981" s="106"/>
    </row>
    <row r="982" spans="1:21" x14ac:dyDescent="0.25"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R982" s="106"/>
      <c r="S982" s="106"/>
    </row>
    <row r="983" spans="1:21" x14ac:dyDescent="0.25">
      <c r="A983" s="8" t="s">
        <v>2059</v>
      </c>
      <c r="B983" s="4" t="str">
        <f t="shared" ref="B983:B984" si="747">LEFT(A983,4)</f>
        <v>5075</v>
      </c>
      <c r="C983" s="105">
        <v>55000</v>
      </c>
      <c r="D983" s="101"/>
      <c r="E983" s="34"/>
      <c r="F983" s="34"/>
      <c r="G983" s="34">
        <f t="shared" ref="G983:G984" si="748">IF(E983&gt;0,E983,-F983)</f>
        <v>0</v>
      </c>
      <c r="H983" s="34">
        <f>VLOOKUP($B983,Utility!$A$5:$D$248,3,0)</f>
        <v>152189.67000000001</v>
      </c>
      <c r="I983" s="34">
        <f>VLOOKUP($B983,Utility!$A$5:$D$248,4,0)</f>
        <v>0</v>
      </c>
      <c r="J983" s="34">
        <f t="shared" ref="J983:J984" si="749">IF(H983&gt;0,H983,-I983)</f>
        <v>152189.67000000001</v>
      </c>
      <c r="K983" s="34"/>
      <c r="L983" s="34"/>
      <c r="M983" s="34">
        <f t="shared" ref="M983:M984" si="750">IF(K983&gt;0,K983,-L983)</f>
        <v>0</v>
      </c>
      <c r="N983" s="34">
        <f t="shared" ref="N983:N984" si="751">E983+H983+K983</f>
        <v>152189.67000000001</v>
      </c>
      <c r="O983" s="34">
        <f t="shared" ref="O983:O984" si="752">F983+I983+L983</f>
        <v>0</v>
      </c>
      <c r="P983" s="34">
        <f t="shared" ref="P983:P984" si="753">IF(N983&gt;0,N983,-O983)</f>
        <v>152189.67000000001</v>
      </c>
      <c r="R983" s="106">
        <f>P983/1.1*0.1</f>
        <v>13835.424545454545</v>
      </c>
      <c r="S983" s="106"/>
    </row>
    <row r="984" spans="1:21" x14ac:dyDescent="0.25">
      <c r="A984" s="8" t="s">
        <v>2060</v>
      </c>
      <c r="B984" s="4" t="str">
        <f t="shared" si="747"/>
        <v>5700</v>
      </c>
      <c r="C984" s="105">
        <v>48000</v>
      </c>
      <c r="D984" s="101"/>
      <c r="E984" s="34"/>
      <c r="F984" s="34"/>
      <c r="G984" s="34">
        <f t="shared" si="748"/>
        <v>0</v>
      </c>
      <c r="H984" s="34">
        <f>VLOOKUP($B984,Utility!$A$5:$D$248,3,0)</f>
        <v>21707.52</v>
      </c>
      <c r="I984" s="34">
        <f>VLOOKUP($B984,Utility!$A$5:$D$248,4,0)</f>
        <v>0</v>
      </c>
      <c r="J984" s="34">
        <f t="shared" si="749"/>
        <v>21707.52</v>
      </c>
      <c r="K984" s="34"/>
      <c r="L984" s="34"/>
      <c r="M984" s="34">
        <f t="shared" si="750"/>
        <v>0</v>
      </c>
      <c r="N984" s="34">
        <f t="shared" si="751"/>
        <v>21707.52</v>
      </c>
      <c r="O984" s="34">
        <f t="shared" si="752"/>
        <v>0</v>
      </c>
      <c r="P984" s="34">
        <f t="shared" si="753"/>
        <v>21707.52</v>
      </c>
      <c r="R984" s="106">
        <f>P984/1.1*0.1</f>
        <v>1973.4109090909089</v>
      </c>
      <c r="S984" s="106"/>
    </row>
    <row r="985" spans="1:21" x14ac:dyDescent="0.25">
      <c r="A985" s="90" t="s">
        <v>8</v>
      </c>
      <c r="C985" s="103">
        <f t="shared" ref="C985:D985" si="754">SUM(C983:C984)</f>
        <v>103000</v>
      </c>
      <c r="D985" s="99">
        <f t="shared" si="754"/>
        <v>0</v>
      </c>
      <c r="E985" s="35">
        <f>SUM(E983:E984)</f>
        <v>0</v>
      </c>
      <c r="F985" s="35">
        <f t="shared" ref="F985:P985" si="755">SUM(F983:F984)</f>
        <v>0</v>
      </c>
      <c r="G985" s="35">
        <f t="shared" si="755"/>
        <v>0</v>
      </c>
      <c r="H985" s="35">
        <f t="shared" si="755"/>
        <v>173897.19</v>
      </c>
      <c r="I985" s="35">
        <f t="shared" si="755"/>
        <v>0</v>
      </c>
      <c r="J985" s="35">
        <f t="shared" si="755"/>
        <v>173897.19</v>
      </c>
      <c r="K985" s="35">
        <f t="shared" si="755"/>
        <v>0</v>
      </c>
      <c r="L985" s="35">
        <f t="shared" si="755"/>
        <v>0</v>
      </c>
      <c r="M985" s="35">
        <f t="shared" si="755"/>
        <v>0</v>
      </c>
      <c r="N985" s="35">
        <f t="shared" si="755"/>
        <v>173897.19</v>
      </c>
      <c r="O985" s="35">
        <f t="shared" si="755"/>
        <v>0</v>
      </c>
      <c r="P985" s="35">
        <f t="shared" si="755"/>
        <v>173897.19</v>
      </c>
      <c r="R985" s="106"/>
      <c r="S985" s="106"/>
    </row>
    <row r="986" spans="1:21" x14ac:dyDescent="0.25">
      <c r="C986" s="104"/>
      <c r="D986" s="100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R986" s="106"/>
      <c r="S986" s="106"/>
    </row>
    <row r="987" spans="1:21" x14ac:dyDescent="0.25">
      <c r="A987" s="8" t="s">
        <v>2061</v>
      </c>
      <c r="B987" s="4" t="str">
        <f t="shared" ref="B987" si="756">LEFT(A987,4)</f>
        <v>5800</v>
      </c>
      <c r="C987" s="108">
        <v>19000</v>
      </c>
      <c r="D987" s="109"/>
      <c r="E987" s="34"/>
      <c r="F987" s="34"/>
      <c r="G987" s="34"/>
      <c r="H987" s="34"/>
      <c r="I987" s="34"/>
      <c r="J987" s="34"/>
      <c r="K987" s="34">
        <f>VLOOKUP($B987,Arena_Sage!$A$5:$D$189,3,0)</f>
        <v>21165.58</v>
      </c>
      <c r="L987" s="34">
        <f>VLOOKUP($B987,Arena_Sage!$A$5:$D$189,4,0)</f>
        <v>0</v>
      </c>
      <c r="M987" s="34">
        <f t="shared" ref="M987" si="757">IF(K987&gt;0,K987,-L987)</f>
        <v>21165.58</v>
      </c>
      <c r="N987" s="34">
        <f t="shared" ref="N987" si="758">E987+H987+K987</f>
        <v>21165.58</v>
      </c>
      <c r="O987" s="34">
        <f t="shared" ref="O987" si="759">F987+I987+L987</f>
        <v>0</v>
      </c>
      <c r="P987" s="34">
        <f t="shared" ref="P987" si="760">IF(N987&gt;0,N987,-O987)</f>
        <v>21165.58</v>
      </c>
      <c r="R987" s="106">
        <f>P987*0.1</f>
        <v>2116.5580000000004</v>
      </c>
      <c r="S987" s="106"/>
    </row>
    <row r="988" spans="1:21" x14ac:dyDescent="0.25">
      <c r="A988" s="12" t="s">
        <v>12</v>
      </c>
      <c r="C988" s="103">
        <f t="shared" ref="C988:D988" si="761">C987</f>
        <v>19000</v>
      </c>
      <c r="D988" s="99">
        <f t="shared" si="761"/>
        <v>0</v>
      </c>
      <c r="E988" s="35">
        <f>E987</f>
        <v>0</v>
      </c>
      <c r="F988" s="35">
        <f t="shared" ref="F988:P988" si="762">F987</f>
        <v>0</v>
      </c>
      <c r="G988" s="35">
        <f t="shared" si="762"/>
        <v>0</v>
      </c>
      <c r="H988" s="35">
        <f t="shared" si="762"/>
        <v>0</v>
      </c>
      <c r="I988" s="35">
        <f t="shared" si="762"/>
        <v>0</v>
      </c>
      <c r="J988" s="35">
        <f t="shared" si="762"/>
        <v>0</v>
      </c>
      <c r="K988" s="35">
        <f t="shared" si="762"/>
        <v>21165.58</v>
      </c>
      <c r="L988" s="35">
        <f t="shared" si="762"/>
        <v>0</v>
      </c>
      <c r="M988" s="35">
        <f t="shared" si="762"/>
        <v>21165.58</v>
      </c>
      <c r="N988" s="35">
        <f t="shared" si="762"/>
        <v>21165.58</v>
      </c>
      <c r="O988" s="35">
        <f t="shared" si="762"/>
        <v>0</v>
      </c>
      <c r="P988" s="35">
        <f t="shared" si="762"/>
        <v>21165.58</v>
      </c>
      <c r="R988" s="106"/>
      <c r="S988" s="106"/>
    </row>
    <row r="989" spans="1:21" x14ac:dyDescent="0.25">
      <c r="A989" s="12"/>
      <c r="C989" s="103"/>
      <c r="D989" s="99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</row>
    <row r="990" spans="1:21" x14ac:dyDescent="0.25">
      <c r="A990" s="12" t="s">
        <v>2062</v>
      </c>
      <c r="C990" s="103">
        <f t="shared" ref="C990:D990" si="763">C988+C985+C981</f>
        <v>344500</v>
      </c>
      <c r="D990" s="99">
        <f t="shared" si="763"/>
        <v>0</v>
      </c>
      <c r="E990" s="35">
        <f>E988+E985+E981</f>
        <v>205720.97999999998</v>
      </c>
      <c r="F990" s="35">
        <f t="shared" ref="F990:P990" si="764">F988+F985+F981</f>
        <v>0</v>
      </c>
      <c r="G990" s="35">
        <f t="shared" si="764"/>
        <v>205720.97999999998</v>
      </c>
      <c r="H990" s="35">
        <f t="shared" si="764"/>
        <v>173897.19</v>
      </c>
      <c r="I990" s="35">
        <f t="shared" si="764"/>
        <v>0</v>
      </c>
      <c r="J990" s="35">
        <f t="shared" si="764"/>
        <v>173897.19</v>
      </c>
      <c r="K990" s="35">
        <f t="shared" si="764"/>
        <v>21165.58</v>
      </c>
      <c r="L990" s="35">
        <f t="shared" si="764"/>
        <v>0</v>
      </c>
      <c r="M990" s="35">
        <f t="shared" si="764"/>
        <v>21165.58</v>
      </c>
      <c r="N990" s="35">
        <f t="shared" si="764"/>
        <v>400783.75</v>
      </c>
      <c r="O990" s="35">
        <f t="shared" si="764"/>
        <v>0</v>
      </c>
      <c r="P990" s="35">
        <f t="shared" si="764"/>
        <v>400783.75</v>
      </c>
    </row>
    <row r="991" spans="1:21" x14ac:dyDescent="0.25">
      <c r="A991" s="12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</row>
    <row r="992" spans="1:21" x14ac:dyDescent="0.25"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</row>
    <row r="993" spans="1:16" x14ac:dyDescent="0.25"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</row>
    <row r="994" spans="1:16" x14ac:dyDescent="0.25"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</row>
    <row r="995" spans="1:16" x14ac:dyDescent="0.25">
      <c r="A995" s="10"/>
      <c r="E995" s="21"/>
      <c r="F995" s="21"/>
      <c r="G995" s="21"/>
      <c r="H995" s="21"/>
      <c r="I995" s="21"/>
      <c r="J995" s="21"/>
      <c r="K995" s="21"/>
      <c r="L995" s="21"/>
      <c r="M995" s="21"/>
    </row>
    <row r="996" spans="1:16" x14ac:dyDescent="0.25">
      <c r="E996" s="21"/>
      <c r="F996" s="21"/>
      <c r="G996" s="21"/>
      <c r="H996" s="21"/>
      <c r="I996" s="21"/>
      <c r="J996" s="21"/>
      <c r="K996" s="21"/>
      <c r="L996" s="21"/>
      <c r="M996" s="21"/>
    </row>
    <row r="997" spans="1:16" x14ac:dyDescent="0.25">
      <c r="E997" s="21"/>
      <c r="F997" s="21"/>
      <c r="G997" s="21"/>
      <c r="H997" s="21"/>
      <c r="I997" s="21"/>
      <c r="J997" s="21"/>
      <c r="K997" s="21"/>
      <c r="L997" s="21"/>
      <c r="M997" s="21"/>
    </row>
    <row r="998" spans="1:16" x14ac:dyDescent="0.25">
      <c r="E998" s="21"/>
      <c r="F998" s="21"/>
      <c r="G998" s="21"/>
      <c r="H998" s="21"/>
      <c r="I998" s="21"/>
      <c r="J998" s="21"/>
      <c r="K998" s="21"/>
      <c r="L998" s="21"/>
      <c r="M998" s="21"/>
    </row>
    <row r="999" spans="1:16" x14ac:dyDescent="0.25">
      <c r="E999" s="21"/>
      <c r="F999" s="21"/>
      <c r="G999" s="21"/>
      <c r="H999" s="21"/>
      <c r="I999" s="21"/>
      <c r="J999" s="21"/>
      <c r="K999" s="21"/>
      <c r="L999" s="21"/>
      <c r="M999" s="21"/>
    </row>
    <row r="1000" spans="1:16" x14ac:dyDescent="0.25">
      <c r="E1000" s="21"/>
      <c r="F1000" s="21"/>
      <c r="G1000" s="21"/>
      <c r="H1000" s="21"/>
      <c r="I1000" s="21"/>
      <c r="J1000" s="21"/>
      <c r="K1000" s="21"/>
      <c r="L1000" s="21"/>
      <c r="M1000" s="21"/>
    </row>
  </sheetData>
  <mergeCells count="3">
    <mergeCell ref="D7:D8"/>
    <mergeCell ref="C7:C8"/>
    <mergeCell ref="P7:P8"/>
  </mergeCells>
  <pageMargins left="0.70866141732283472" right="0.70866141732283472" top="0.74803149606299213" bottom="0.74803149606299213" header="0.31496062992125984" footer="0.31496062992125984"/>
  <pageSetup paperSize="3" scale="96" orientation="portrait" r:id="rId1"/>
  <headerFooter>
    <oddFooter>&amp;L&amp;Z&amp;F</oddFooter>
  </headerFooter>
  <rowBreaks count="4" manualBreakCount="4">
    <brk id="214" max="15" man="1"/>
    <brk id="286" max="15" man="1"/>
    <brk id="360" max="15" man="1"/>
    <brk id="580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5616F-0D78-4CEC-9E11-ACB50C62D74E}">
  <dimension ref="A1:K92"/>
  <sheetViews>
    <sheetView zoomScaleNormal="100" workbookViewId="0"/>
  </sheetViews>
  <sheetFormatPr defaultRowHeight="15" x14ac:dyDescent="0.2"/>
  <cols>
    <col min="1" max="1" width="5.5703125" style="31" customWidth="1"/>
    <col min="2" max="2" width="39" style="31" customWidth="1"/>
    <col min="3" max="3" width="6.7109375" style="31" hidden="1" customWidth="1"/>
    <col min="4" max="4" width="15.7109375" style="31" customWidth="1"/>
    <col min="5" max="5" width="16" style="31" customWidth="1"/>
    <col min="6" max="7" width="15.7109375" style="31" hidden="1" customWidth="1"/>
    <col min="8" max="8" width="14.28515625" style="31" customWidth="1"/>
    <col min="9" max="9" width="15.7109375" style="31" customWidth="1"/>
    <col min="10" max="10" width="25.7109375" style="31" customWidth="1"/>
    <col min="11" max="16384" width="9.140625" style="31"/>
  </cols>
  <sheetData>
    <row r="1" spans="1:11" ht="18" x14ac:dyDescent="0.25">
      <c r="A1" s="55" t="s">
        <v>517</v>
      </c>
      <c r="B1" s="55"/>
      <c r="C1" s="55"/>
      <c r="D1" s="55"/>
      <c r="E1" s="55"/>
      <c r="F1" s="55"/>
      <c r="G1" s="54"/>
      <c r="H1" s="54"/>
      <c r="I1" s="54"/>
    </row>
    <row r="2" spans="1:11" ht="18" x14ac:dyDescent="0.25">
      <c r="A2" s="56" t="s">
        <v>2082</v>
      </c>
      <c r="B2" s="56"/>
      <c r="C2" s="56"/>
      <c r="D2" s="56"/>
      <c r="E2" s="56"/>
      <c r="F2" s="56"/>
      <c r="G2" s="54"/>
      <c r="H2" s="54"/>
      <c r="I2" s="54"/>
    </row>
    <row r="3" spans="1:11" ht="18" x14ac:dyDescent="0.25">
      <c r="A3" s="56" t="s">
        <v>2030</v>
      </c>
      <c r="B3" s="56"/>
      <c r="C3" s="56"/>
      <c r="D3" s="56"/>
      <c r="E3" s="56"/>
      <c r="F3" s="56"/>
      <c r="G3" s="54"/>
      <c r="H3" s="54"/>
      <c r="I3" s="54"/>
    </row>
    <row r="4" spans="1:11" ht="15.75" thickBot="1" x14ac:dyDescent="0.25"/>
    <row r="5" spans="1:11" ht="30" customHeight="1" thickTop="1" thickBot="1" x14ac:dyDescent="0.25">
      <c r="A5" s="57"/>
      <c r="B5" s="57"/>
      <c r="C5" s="57"/>
      <c r="D5" s="85" t="s">
        <v>2080</v>
      </c>
      <c r="E5" s="85" t="s">
        <v>2079</v>
      </c>
      <c r="F5" s="85" t="s">
        <v>2078</v>
      </c>
      <c r="G5" s="85" t="s">
        <v>2041</v>
      </c>
      <c r="H5" s="85" t="s">
        <v>2042</v>
      </c>
      <c r="I5" s="85" t="s">
        <v>2040</v>
      </c>
    </row>
    <row r="6" spans="1:11" ht="30" customHeight="1" thickTop="1" x14ac:dyDescent="0.2">
      <c r="A6" s="83"/>
      <c r="B6" s="83"/>
      <c r="C6" s="83"/>
      <c r="D6" s="83"/>
      <c r="E6" s="83"/>
      <c r="F6" s="82"/>
      <c r="G6" s="64" t="s">
        <v>2077</v>
      </c>
      <c r="H6" s="82"/>
      <c r="I6" s="82"/>
    </row>
    <row r="7" spans="1:11" ht="20.100000000000001" customHeight="1" x14ac:dyDescent="0.25">
      <c r="A7" s="32" t="s">
        <v>1805</v>
      </c>
      <c r="B7" s="5"/>
      <c r="C7" s="5"/>
      <c r="D7" s="5"/>
      <c r="E7" s="5"/>
      <c r="F7" s="5"/>
    </row>
    <row r="8" spans="1:11" ht="20.100000000000001" customHeight="1" x14ac:dyDescent="0.2">
      <c r="B8" s="31" t="s">
        <v>2031</v>
      </c>
      <c r="D8" s="41">
        <f>'Operations_Town(S.3)'!D19-'Operations_Town(S.3)'!D17</f>
        <v>947474</v>
      </c>
      <c r="E8" s="41">
        <f>'Operations_Town(S.3)'!E19-'Operations_Town(S.3)'!E17</f>
        <v>957401</v>
      </c>
      <c r="F8" s="41">
        <f>'Operations_Town(S.3)'!F19</f>
        <v>123504</v>
      </c>
      <c r="G8" s="41">
        <f>'Operations_Town(S.3)'!G19</f>
        <v>972671</v>
      </c>
      <c r="H8" s="41">
        <f>'Operations_Town(S.3)'!H19-'Operations_Town(S.3)'!H17</f>
        <v>870865</v>
      </c>
      <c r="I8" s="41">
        <v>897616</v>
      </c>
      <c r="J8" s="49">
        <f>D8-D14</f>
        <v>39959</v>
      </c>
      <c r="K8" s="31" t="s">
        <v>2494</v>
      </c>
    </row>
    <row r="9" spans="1:11" ht="20.100000000000001" customHeight="1" x14ac:dyDescent="0.2">
      <c r="B9" s="31" t="s">
        <v>2032</v>
      </c>
      <c r="D9" s="41">
        <f>'Operations_Sewerage(S.5)'!D11</f>
        <v>222337</v>
      </c>
      <c r="E9" s="41">
        <f>'Operations_Sewerage(S.5)'!E11</f>
        <v>179604</v>
      </c>
      <c r="F9" s="41">
        <f>'Operations_Sewerage(S.5)'!F11</f>
        <v>18736</v>
      </c>
      <c r="G9" s="41">
        <f>'Operations_Sewerage(S.5)'!G11</f>
        <v>160868</v>
      </c>
      <c r="H9" s="41">
        <f>'Operations_Sewerage(S.5)'!H11</f>
        <v>169000</v>
      </c>
      <c r="I9" s="41">
        <v>172152</v>
      </c>
      <c r="J9" s="49">
        <f t="shared" ref="J9:J11" si="0">D9-D15</f>
        <v>-20030</v>
      </c>
    </row>
    <row r="10" spans="1:11" ht="20.100000000000001" customHeight="1" x14ac:dyDescent="0.2">
      <c r="B10" s="31" t="s">
        <v>2033</v>
      </c>
      <c r="D10" s="41">
        <f>'Operations_Water(S.6)'!D14</f>
        <v>177943</v>
      </c>
      <c r="E10" s="41">
        <f>'Operations_Water(S.6)'!E14</f>
        <v>144222</v>
      </c>
      <c r="F10" s="41">
        <f>'Operations_Water(S.6)'!F14</f>
        <v>11168</v>
      </c>
      <c r="G10" s="41">
        <f>'Operations_Water(S.6)'!G14</f>
        <v>133054</v>
      </c>
      <c r="H10" s="41">
        <f>'Operations_Water(S.6)'!H14</f>
        <v>141000</v>
      </c>
      <c r="I10" s="41">
        <v>140751</v>
      </c>
      <c r="J10" s="49">
        <f t="shared" si="0"/>
        <v>-31168</v>
      </c>
    </row>
    <row r="11" spans="1:11" ht="20.100000000000001" customHeight="1" x14ac:dyDescent="0.2">
      <c r="B11" s="31" t="s">
        <v>2034</v>
      </c>
      <c r="D11" s="41">
        <f>'Operations_Arena(S.7)'!D18</f>
        <v>138400</v>
      </c>
      <c r="E11" s="41">
        <f>'Operations_Arena(S.7)'!E18</f>
        <v>138774</v>
      </c>
      <c r="F11" s="41">
        <f>'Operations_Arena(S.7)'!F18</f>
        <v>16000</v>
      </c>
      <c r="G11" s="41">
        <f>'Operations_Arena(S.7)'!G18</f>
        <v>122774</v>
      </c>
      <c r="H11" s="41">
        <f>'Operations_Arena(S.7)'!H18</f>
        <v>105500</v>
      </c>
      <c r="I11" s="41">
        <v>122686</v>
      </c>
      <c r="J11" s="49">
        <f t="shared" si="0"/>
        <v>-110998</v>
      </c>
    </row>
    <row r="12" spans="1:11" ht="30" customHeight="1" x14ac:dyDescent="0.25">
      <c r="D12" s="43">
        <f t="shared" ref="D12" si="1">SUM(D8:D11)</f>
        <v>1486154</v>
      </c>
      <c r="E12" s="43">
        <f>SUM(E8:E11)</f>
        <v>1420001</v>
      </c>
      <c r="F12" s="43">
        <f>SUM(F8:F11)</f>
        <v>169408</v>
      </c>
      <c r="G12" s="43">
        <f>SUM(G8:G11)</f>
        <v>1389367</v>
      </c>
      <c r="H12" s="43">
        <f>SUM(H8:H11)</f>
        <v>1286365</v>
      </c>
      <c r="I12" s="43">
        <f>SUM(I8:I11)</f>
        <v>1333205</v>
      </c>
    </row>
    <row r="13" spans="1:11" ht="20.100000000000001" customHeight="1" x14ac:dyDescent="0.25">
      <c r="A13" s="32" t="s">
        <v>1819</v>
      </c>
      <c r="G13" s="41"/>
      <c r="H13" s="41"/>
      <c r="I13" s="41"/>
    </row>
    <row r="14" spans="1:11" ht="20.100000000000001" customHeight="1" x14ac:dyDescent="0.2">
      <c r="B14" s="31" t="s">
        <v>2031</v>
      </c>
      <c r="D14" s="41">
        <f>'Operations_Town(S.3)'!D29-'Operations_Town(S.3)'!D28</f>
        <v>907515</v>
      </c>
      <c r="E14" s="41">
        <f>'Operations_Town(S.3)'!E29-'Operations_Town(S.3)'!E28</f>
        <v>821464</v>
      </c>
      <c r="F14" s="41">
        <f>'Operations_Town(S.3)'!F29-'Operations_Town(S.3)'!F28</f>
        <v>63385</v>
      </c>
      <c r="G14" s="41">
        <f>'Operations_Town(S.3)'!G29-'Operations_Town(S.3)'!G28</f>
        <v>758079</v>
      </c>
      <c r="H14" s="41">
        <f>'Operations_Town(S.3)'!H29-'Operations_Town(S.3)'!H28</f>
        <v>823650</v>
      </c>
      <c r="I14" s="41">
        <v>782905</v>
      </c>
      <c r="J14" s="338" t="s">
        <v>2311</v>
      </c>
    </row>
    <row r="15" spans="1:11" ht="20.100000000000001" customHeight="1" x14ac:dyDescent="0.2">
      <c r="B15" s="31" t="s">
        <v>2032</v>
      </c>
      <c r="D15" s="41">
        <f>'Operations_Sewerage(S.5)'!D32</f>
        <v>242367</v>
      </c>
      <c r="E15" s="41">
        <f>'Operations_Sewerage(S.5)'!E32</f>
        <v>238046</v>
      </c>
      <c r="F15" s="41">
        <f>'Operations_Sewerage(S.5)'!F32</f>
        <v>43076</v>
      </c>
      <c r="G15" s="41">
        <f>'Operations_Sewerage(S.5)'!G32</f>
        <v>194970</v>
      </c>
      <c r="H15" s="41">
        <f>'Operations_Sewerage(S.5)'!H32</f>
        <v>247500</v>
      </c>
      <c r="I15" s="41">
        <v>214021</v>
      </c>
    </row>
    <row r="16" spans="1:11" ht="20.100000000000001" customHeight="1" x14ac:dyDescent="0.2">
      <c r="B16" s="31" t="s">
        <v>2033</v>
      </c>
      <c r="D16" s="41">
        <f>'Operations_Water(S.6)'!D36</f>
        <v>209111</v>
      </c>
      <c r="E16" s="41">
        <f>'Operations_Water(S.6)'!E36</f>
        <v>197315</v>
      </c>
      <c r="F16" s="41">
        <f>'Operations_Water(S.6)'!F36</f>
        <v>46343</v>
      </c>
      <c r="G16" s="41">
        <f>'Operations_Water(S.6)'!G36</f>
        <v>150972</v>
      </c>
      <c r="H16" s="41">
        <f>'Operations_Water(S.6)'!H36</f>
        <v>243700</v>
      </c>
      <c r="I16" s="41">
        <v>192770</v>
      </c>
    </row>
    <row r="17" spans="1:9" ht="20.100000000000001" customHeight="1" x14ac:dyDescent="0.2">
      <c r="B17" s="31" t="s">
        <v>2034</v>
      </c>
      <c r="D17" s="41">
        <f>'Operations_Arena(S.7)'!D34</f>
        <v>249398</v>
      </c>
      <c r="E17" s="41">
        <f>'Operations_Arena(S.7)'!E34</f>
        <v>229208</v>
      </c>
      <c r="F17" s="41">
        <f>'Operations_Arena(S.7)'!F34</f>
        <v>54198</v>
      </c>
      <c r="G17" s="41">
        <f>'Operations_Arena(S.7)'!G34</f>
        <v>175010</v>
      </c>
      <c r="H17" s="41">
        <f>'Operations_Arena(S.7)'!H34</f>
        <v>191800</v>
      </c>
      <c r="I17" s="41">
        <v>201098</v>
      </c>
    </row>
    <row r="18" spans="1:9" ht="30" customHeight="1" x14ac:dyDescent="0.25">
      <c r="D18" s="43">
        <f t="shared" ref="D18" si="2">SUM(D14:D17)</f>
        <v>1608391</v>
      </c>
      <c r="E18" s="43">
        <f>SUM(E14:E17)</f>
        <v>1486033</v>
      </c>
      <c r="F18" s="43">
        <f>SUM(F14:F17)</f>
        <v>207002</v>
      </c>
      <c r="G18" s="43">
        <f>SUM(G14:G17)</f>
        <v>1279031</v>
      </c>
      <c r="H18" s="43">
        <f>SUM(H14:H17)</f>
        <v>1506650</v>
      </c>
      <c r="I18" s="43">
        <f>SUM(I14:I17)</f>
        <v>1390794</v>
      </c>
    </row>
    <row r="19" spans="1:9" ht="30" customHeight="1" x14ac:dyDescent="0.25">
      <c r="A19" s="32" t="s">
        <v>1974</v>
      </c>
      <c r="D19" s="47">
        <f t="shared" ref="D19" si="3">D12-D18</f>
        <v>-122237</v>
      </c>
      <c r="E19" s="47">
        <f>E12-E18</f>
        <v>-66032</v>
      </c>
      <c r="F19" s="47">
        <f>F12-F18</f>
        <v>-37594</v>
      </c>
      <c r="G19" s="47">
        <f>G12-G18</f>
        <v>110336</v>
      </c>
      <c r="H19" s="47">
        <f>H12-H18</f>
        <v>-220285</v>
      </c>
      <c r="I19" s="47">
        <f>I12-I18</f>
        <v>-57589</v>
      </c>
    </row>
    <row r="20" spans="1:9" ht="20.100000000000001" customHeight="1" x14ac:dyDescent="0.2">
      <c r="G20" s="41"/>
      <c r="H20" s="41"/>
      <c r="I20" s="41"/>
    </row>
    <row r="21" spans="1:9" ht="20.100000000000001" customHeight="1" x14ac:dyDescent="0.25">
      <c r="A21" s="32" t="s">
        <v>1940</v>
      </c>
      <c r="G21" s="41"/>
      <c r="H21" s="41"/>
      <c r="I21" s="41"/>
    </row>
    <row r="22" spans="1:9" ht="20.100000000000001" customHeight="1" x14ac:dyDescent="0.25">
      <c r="A22" s="32"/>
      <c r="B22" s="31" t="s">
        <v>2031</v>
      </c>
      <c r="D22" s="41">
        <f>'Operations_Town(S.3)'!D36-'Operations_Arena(S.7)'!D40</f>
        <v>126100</v>
      </c>
      <c r="E22" s="41">
        <f>'Operations_Town(S.3)'!E36-'Operations_Arena(S.7)'!E40</f>
        <v>131409</v>
      </c>
      <c r="F22" s="41">
        <f>'Operations_Town(S.3)'!F36-'Operations_Arena(S.7)'!F40</f>
        <v>18702</v>
      </c>
      <c r="G22" s="41">
        <f>'Operations_Town(S.3)'!G36-'Operations_Arena(S.7)'!G40</f>
        <v>112707</v>
      </c>
      <c r="H22" s="41">
        <f>'Operations_Town(S.3)'!H36-'Operations_Arena(S.7)'!H40</f>
        <v>15000</v>
      </c>
      <c r="I22" s="41">
        <v>97581</v>
      </c>
    </row>
    <row r="23" spans="1:9" ht="20.100000000000001" customHeight="1" x14ac:dyDescent="0.25">
      <c r="A23" s="32"/>
      <c r="B23" s="31" t="s">
        <v>2032</v>
      </c>
      <c r="D23" s="41">
        <f>'Operations_Sewerage(S.5)'!D36</f>
        <v>10000</v>
      </c>
      <c r="E23" s="41">
        <f>'Operations_Sewerage(S.5)'!E36</f>
        <v>75000</v>
      </c>
      <c r="F23" s="41">
        <f>'Operations_Sewerage(S.5)'!F36</f>
        <v>0</v>
      </c>
      <c r="G23" s="41">
        <f>'Operations_Sewerage(S.5)'!G36</f>
        <v>75000</v>
      </c>
      <c r="H23" s="41">
        <f>'Operations_Sewerage(S.5)'!H36</f>
        <v>0</v>
      </c>
      <c r="I23" s="41">
        <v>339710</v>
      </c>
    </row>
    <row r="24" spans="1:9" ht="20.100000000000001" customHeight="1" x14ac:dyDescent="0.25">
      <c r="A24" s="32"/>
      <c r="B24" s="31" t="s">
        <v>2033</v>
      </c>
      <c r="D24" s="41">
        <f>'Operations_Water(S.6)'!D40</f>
        <v>10000</v>
      </c>
      <c r="E24" s="41">
        <f>'Operations_Water(S.6)'!E40</f>
        <v>-290</v>
      </c>
      <c r="F24" s="41">
        <f>'Operations_Water(S.6)'!F40</f>
        <v>0</v>
      </c>
      <c r="G24" s="41">
        <f>'Operations_Water(S.6)'!G40</f>
        <v>-290</v>
      </c>
      <c r="H24" s="41">
        <f>'Operations_Water(S.6)'!H40</f>
        <v>0</v>
      </c>
      <c r="I24" s="41">
        <v>371393</v>
      </c>
    </row>
    <row r="25" spans="1:9" ht="20.100000000000001" customHeight="1" x14ac:dyDescent="0.25">
      <c r="A25" s="32"/>
      <c r="B25" s="31" t="s">
        <v>2034</v>
      </c>
      <c r="D25" s="41">
        <f>'Operations_Arena(S.7)'!D40</f>
        <v>1600</v>
      </c>
      <c r="E25" s="41">
        <f>'Operations_Arena(S.7)'!E40</f>
        <v>8435</v>
      </c>
      <c r="F25" s="41">
        <f>'Operations_Arena(S.7)'!F37</f>
        <v>0</v>
      </c>
      <c r="G25" s="41">
        <f>'Operations_Arena(S.7)'!G37</f>
        <v>0</v>
      </c>
      <c r="H25" s="41">
        <f>'Operations_Arena(S.7)'!H40</f>
        <v>0</v>
      </c>
      <c r="I25" s="41">
        <v>136111</v>
      </c>
    </row>
    <row r="26" spans="1:9" ht="30" customHeight="1" x14ac:dyDescent="0.25">
      <c r="D26" s="43">
        <f t="shared" ref="D26" si="4">SUM(D22:D25)</f>
        <v>147700</v>
      </c>
      <c r="E26" s="43">
        <f>SUM(E22:E25)</f>
        <v>214554</v>
      </c>
      <c r="F26" s="43">
        <f>SUM(F22:F25)</f>
        <v>18702</v>
      </c>
      <c r="G26" s="43">
        <f>SUM(G22:G25)</f>
        <v>187417</v>
      </c>
      <c r="H26" s="43">
        <f>SUM(H22:H25)</f>
        <v>15000</v>
      </c>
      <c r="I26" s="43">
        <f>SUM(I22:I25)</f>
        <v>944795</v>
      </c>
    </row>
    <row r="27" spans="1:9" ht="30" customHeight="1" x14ac:dyDescent="0.25">
      <c r="A27" s="32" t="s">
        <v>1817</v>
      </c>
      <c r="D27" s="42">
        <f t="shared" ref="D27" si="5">D19+D26</f>
        <v>25463</v>
      </c>
      <c r="E27" s="42">
        <f>E19+E26</f>
        <v>148522</v>
      </c>
      <c r="F27" s="42">
        <f>F19+F26</f>
        <v>-18892</v>
      </c>
      <c r="G27" s="42">
        <f>G19+G26</f>
        <v>297753</v>
      </c>
      <c r="H27" s="42">
        <f>H19+H26</f>
        <v>-205285</v>
      </c>
      <c r="I27" s="42">
        <f>I19+I26</f>
        <v>887206</v>
      </c>
    </row>
    <row r="28" spans="1:9" ht="30" customHeight="1" x14ac:dyDescent="0.25">
      <c r="A28" s="32" t="s">
        <v>2035</v>
      </c>
      <c r="D28" s="96">
        <f>E29</f>
        <v>8362747</v>
      </c>
      <c r="E28" s="96">
        <f>I29</f>
        <v>8214225</v>
      </c>
      <c r="F28" s="42">
        <v>0</v>
      </c>
      <c r="G28" s="42">
        <f>I29</f>
        <v>8214225</v>
      </c>
      <c r="H28" s="42">
        <f>I29</f>
        <v>8214225</v>
      </c>
      <c r="I28" s="42">
        <v>7327019</v>
      </c>
    </row>
    <row r="29" spans="1:9" ht="30" customHeight="1" thickBot="1" x14ac:dyDescent="0.3">
      <c r="A29" s="32" t="s">
        <v>2036</v>
      </c>
      <c r="D29" s="58">
        <f t="shared" ref="D29:I29" si="6">D27+D28</f>
        <v>8388210</v>
      </c>
      <c r="E29" s="58">
        <f t="shared" si="6"/>
        <v>8362747</v>
      </c>
      <c r="F29" s="58">
        <f t="shared" si="6"/>
        <v>-18892</v>
      </c>
      <c r="G29" s="58">
        <f t="shared" si="6"/>
        <v>8511978</v>
      </c>
      <c r="H29" s="58">
        <f t="shared" si="6"/>
        <v>8008940</v>
      </c>
      <c r="I29" s="58">
        <f t="shared" si="6"/>
        <v>8214225</v>
      </c>
    </row>
    <row r="30" spans="1:9" ht="20.100000000000001" customHeight="1" thickTop="1" x14ac:dyDescent="0.2">
      <c r="G30" s="41"/>
      <c r="H30" s="41"/>
      <c r="I30" s="41"/>
    </row>
    <row r="31" spans="1:9" ht="20.100000000000001" customHeight="1" x14ac:dyDescent="0.25">
      <c r="A31" s="32"/>
      <c r="G31" s="41"/>
      <c r="H31" s="41"/>
      <c r="I31" s="41"/>
    </row>
    <row r="32" spans="1:9" ht="20.100000000000001" customHeight="1" x14ac:dyDescent="0.2">
      <c r="G32" s="49"/>
      <c r="H32" s="49"/>
      <c r="I32" s="49"/>
    </row>
    <row r="33" spans="7:9" ht="20.100000000000001" customHeight="1" x14ac:dyDescent="0.2">
      <c r="G33" s="49"/>
      <c r="H33" s="49"/>
      <c r="I33" s="49"/>
    </row>
    <row r="34" spans="7:9" ht="20.100000000000001" customHeight="1" x14ac:dyDescent="0.2">
      <c r="G34" s="49"/>
      <c r="H34" s="49"/>
      <c r="I34" s="49"/>
    </row>
    <row r="35" spans="7:9" ht="20.100000000000001" customHeight="1" x14ac:dyDescent="0.2">
      <c r="G35" s="49"/>
      <c r="H35" s="49"/>
      <c r="I35" s="49"/>
    </row>
    <row r="36" spans="7:9" ht="20.100000000000001" customHeight="1" x14ac:dyDescent="0.2">
      <c r="G36" s="49"/>
      <c r="H36" s="49"/>
      <c r="I36" s="49"/>
    </row>
    <row r="37" spans="7:9" ht="20.100000000000001" customHeight="1" x14ac:dyDescent="0.2">
      <c r="G37" s="49"/>
      <c r="H37" s="49"/>
      <c r="I37" s="49"/>
    </row>
    <row r="38" spans="7:9" ht="20.100000000000001" customHeight="1" x14ac:dyDescent="0.2">
      <c r="G38" s="49"/>
      <c r="H38" s="49"/>
      <c r="I38" s="49"/>
    </row>
    <row r="39" spans="7:9" ht="20.100000000000001" customHeight="1" x14ac:dyDescent="0.2">
      <c r="G39" s="49"/>
      <c r="H39" s="49"/>
      <c r="I39" s="49"/>
    </row>
    <row r="40" spans="7:9" ht="20.100000000000001" customHeight="1" x14ac:dyDescent="0.2">
      <c r="G40" s="49"/>
      <c r="H40" s="49"/>
      <c r="I40" s="49"/>
    </row>
    <row r="41" spans="7:9" ht="20.100000000000001" customHeight="1" x14ac:dyDescent="0.2"/>
    <row r="42" spans="7:9" ht="20.100000000000001" customHeight="1" x14ac:dyDescent="0.2"/>
    <row r="43" spans="7:9" ht="20.100000000000001" customHeight="1" x14ac:dyDescent="0.2"/>
    <row r="44" spans="7:9" ht="20.100000000000001" customHeight="1" x14ac:dyDescent="0.2"/>
    <row r="45" spans="7:9" ht="20.100000000000001" customHeight="1" x14ac:dyDescent="0.2"/>
    <row r="46" spans="7:9" ht="20.100000000000001" customHeight="1" x14ac:dyDescent="0.2"/>
    <row r="47" spans="7:9" ht="20.100000000000001" customHeight="1" x14ac:dyDescent="0.2"/>
    <row r="48" spans="7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</sheetData>
  <pageMargins left="0" right="0" top="0" bottom="0" header="0" footer="0"/>
  <pageSetup scale="90" orientation="portrait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F13E-EA84-4B75-B5A6-45DED7200083}">
  <dimension ref="A1:L383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"/>
    </sheetView>
  </sheetViews>
  <sheetFormatPr defaultRowHeight="15" x14ac:dyDescent="0.2"/>
  <cols>
    <col min="1" max="1" width="4.42578125" style="31" customWidth="1"/>
    <col min="2" max="2" width="40.5703125" style="31" customWidth="1"/>
    <col min="3" max="3" width="0.28515625" style="31" customWidth="1"/>
    <col min="4" max="4" width="15.7109375" style="31" customWidth="1"/>
    <col min="5" max="5" width="17.28515625" style="31" customWidth="1"/>
    <col min="6" max="7" width="15.7109375" style="31" hidden="1" customWidth="1"/>
    <col min="8" max="9" width="15.7109375" style="31" customWidth="1"/>
    <col min="10" max="10" width="9.140625" style="31"/>
    <col min="11" max="11" width="32.5703125" style="31" bestFit="1" customWidth="1"/>
    <col min="12" max="12" width="14.28515625" style="31" bestFit="1" customWidth="1"/>
    <col min="13" max="16384" width="9.140625" style="31"/>
  </cols>
  <sheetData>
    <row r="1" spans="1:12" ht="18" x14ac:dyDescent="0.25">
      <c r="A1" s="53" t="s">
        <v>1803</v>
      </c>
      <c r="B1" s="54"/>
      <c r="C1" s="54"/>
      <c r="D1" s="54"/>
      <c r="E1" s="54"/>
      <c r="F1" s="54"/>
      <c r="G1" s="54"/>
      <c r="H1" s="54"/>
      <c r="I1" s="54"/>
    </row>
    <row r="2" spans="1:12" ht="18" x14ac:dyDescent="0.25">
      <c r="A2" s="53" t="s">
        <v>1818</v>
      </c>
      <c r="B2" s="54"/>
      <c r="C2" s="54"/>
      <c r="D2" s="54"/>
      <c r="E2" s="54"/>
      <c r="F2" s="54"/>
      <c r="G2" s="54"/>
      <c r="H2" s="54"/>
      <c r="I2" s="54"/>
    </row>
    <row r="3" spans="1:12" ht="18" x14ac:dyDescent="0.25">
      <c r="A3" s="53" t="s">
        <v>2081</v>
      </c>
      <c r="B3" s="54"/>
      <c r="C3" s="54"/>
      <c r="D3" s="54"/>
      <c r="E3" s="54"/>
      <c r="F3" s="54"/>
      <c r="G3" s="54"/>
      <c r="H3" s="54"/>
      <c r="I3" s="54"/>
    </row>
    <row r="4" spans="1:12" ht="15.75" thickBot="1" x14ac:dyDescent="0.25"/>
    <row r="5" spans="1:12" ht="30" customHeight="1" thickTop="1" thickBot="1" x14ac:dyDescent="0.3">
      <c r="A5" s="50"/>
      <c r="B5" s="50"/>
      <c r="C5" s="51" t="s">
        <v>1144</v>
      </c>
      <c r="D5" s="85" t="s">
        <v>2080</v>
      </c>
      <c r="E5" s="85" t="s">
        <v>2079</v>
      </c>
      <c r="F5" s="85" t="s">
        <v>2078</v>
      </c>
      <c r="G5" s="85" t="s">
        <v>2041</v>
      </c>
      <c r="H5" s="85" t="s">
        <v>2042</v>
      </c>
      <c r="I5" s="85" t="s">
        <v>2040</v>
      </c>
      <c r="K5" s="88"/>
    </row>
    <row r="6" spans="1:12" ht="30" customHeight="1" thickTop="1" x14ac:dyDescent="0.25">
      <c r="C6" s="32"/>
      <c r="D6" s="223"/>
      <c r="E6" s="223"/>
      <c r="F6" s="224"/>
      <c r="G6" s="225" t="s">
        <v>2077</v>
      </c>
      <c r="H6" s="224"/>
      <c r="I6" s="224"/>
    </row>
    <row r="7" spans="1:12" ht="20.100000000000001" customHeight="1" x14ac:dyDescent="0.25">
      <c r="A7" s="32" t="s">
        <v>1819</v>
      </c>
      <c r="D7" s="60"/>
      <c r="E7" s="60"/>
      <c r="F7" s="60"/>
      <c r="G7" s="60"/>
      <c r="H7" s="60"/>
      <c r="I7" s="60"/>
    </row>
    <row r="8" spans="1:12" ht="20.100000000000001" customHeight="1" x14ac:dyDescent="0.25">
      <c r="A8" s="32"/>
      <c r="B8" s="32" t="s">
        <v>1820</v>
      </c>
      <c r="C8" s="32"/>
      <c r="D8" s="223"/>
      <c r="E8" s="223"/>
      <c r="F8" s="37"/>
      <c r="G8" s="37"/>
      <c r="H8" s="37"/>
      <c r="I8" s="37"/>
    </row>
    <row r="9" spans="1:12" ht="20.100000000000001" customHeight="1" x14ac:dyDescent="0.2">
      <c r="B9" s="31" t="s">
        <v>1821</v>
      </c>
      <c r="C9" s="36" t="s">
        <v>1837</v>
      </c>
      <c r="D9" s="37">
        <f>ROUND(VLOOKUP($C9,Database!$B$8:$P$994,2,0),0)</f>
        <v>50000</v>
      </c>
      <c r="E9" s="94">
        <f>F9+G9</f>
        <v>43129</v>
      </c>
      <c r="F9" s="37">
        <f>ROUND(VLOOKUP($C9,Database!$B$8:$P$994,3,0),0)</f>
        <v>13000</v>
      </c>
      <c r="G9" s="37">
        <f>ROUND(VLOOKUP($C9,Database!$B$8:$P$994,6,0),0)</f>
        <v>30129</v>
      </c>
      <c r="H9" s="37">
        <v>40000</v>
      </c>
      <c r="I9" s="37">
        <v>42706</v>
      </c>
      <c r="L9" s="60"/>
    </row>
    <row r="10" spans="1:12" ht="20.100000000000001" customHeight="1" x14ac:dyDescent="0.2">
      <c r="B10" s="31" t="s">
        <v>1822</v>
      </c>
      <c r="C10" s="36" t="s">
        <v>1838</v>
      </c>
      <c r="D10" s="37">
        <f>ROUND(VLOOKUP($C10,Database!$B$8:$P$994,2,0),0)</f>
        <v>4500</v>
      </c>
      <c r="E10" s="94">
        <f t="shared" ref="E10:E19" si="0">F10+G10</f>
        <v>3313</v>
      </c>
      <c r="F10" s="37">
        <f>ROUND(VLOOKUP($C10,Database!$B$8:$P$994,3,0),0)</f>
        <v>0</v>
      </c>
      <c r="G10" s="37">
        <f>ROUND(VLOOKUP($C10,Database!$B$8:$P$994,6,0),0)</f>
        <v>3313</v>
      </c>
      <c r="H10" s="37">
        <v>4500</v>
      </c>
      <c r="I10" s="37">
        <v>2005</v>
      </c>
      <c r="L10" s="41"/>
    </row>
    <row r="11" spans="1:12" ht="20.100000000000001" customHeight="1" x14ac:dyDescent="0.2">
      <c r="B11" s="31" t="s">
        <v>1823</v>
      </c>
      <c r="C11" s="36" t="s">
        <v>1840</v>
      </c>
      <c r="D11" s="37">
        <f>ROUND(VLOOKUP($C11,Database!$B$8:$P$994,2,0),0)</f>
        <v>6500</v>
      </c>
      <c r="E11" s="94">
        <f t="shared" si="0"/>
        <v>5450</v>
      </c>
      <c r="F11" s="37">
        <f>ROUND(VLOOKUP($C11,Database!$B$8:$P$994,3,0),0)</f>
        <v>300</v>
      </c>
      <c r="G11" s="37">
        <f>ROUND(VLOOKUP($C11,Database!$B$8:$P$994,6,0),0)</f>
        <v>5150</v>
      </c>
      <c r="H11" s="37">
        <f>7000+2400</f>
        <v>9400</v>
      </c>
      <c r="I11" s="37">
        <v>6156</v>
      </c>
      <c r="L11" s="41"/>
    </row>
    <row r="12" spans="1:12" ht="20.100000000000001" customHeight="1" x14ac:dyDescent="0.25">
      <c r="B12" s="31" t="s">
        <v>1824</v>
      </c>
      <c r="C12" s="36" t="s">
        <v>1844</v>
      </c>
      <c r="D12" s="37">
        <f>ROUND(VLOOKUP($C12,Database!$B$8:$P$994,2,0),0)</f>
        <v>12000</v>
      </c>
      <c r="E12" s="94">
        <f t="shared" si="0"/>
        <v>11595</v>
      </c>
      <c r="F12" s="37">
        <f>ROUND(VLOOKUP($C12,Database!$B$8:$P$994,3,0),0)</f>
        <v>0</v>
      </c>
      <c r="G12" s="37">
        <f>ROUND(VLOOKUP($C12,Database!$B$8:$P$994,6,0),0)</f>
        <v>11595</v>
      </c>
      <c r="H12" s="37">
        <v>8000</v>
      </c>
      <c r="I12" s="37">
        <v>7831</v>
      </c>
      <c r="L12" s="42"/>
    </row>
    <row r="13" spans="1:12" ht="20.100000000000001" customHeight="1" x14ac:dyDescent="0.2">
      <c r="B13" s="31" t="s">
        <v>1825</v>
      </c>
      <c r="C13" s="36" t="s">
        <v>1842</v>
      </c>
      <c r="D13" s="37">
        <f>ROUND(VLOOKUP($C13,Database!$B$8:$P$994,2,0),0)</f>
        <v>12682</v>
      </c>
      <c r="E13" s="94">
        <f t="shared" si="0"/>
        <v>9486</v>
      </c>
      <c r="F13" s="37">
        <f>ROUND(VLOOKUP($C13,Database!$B$8:$P$994,3,0),0)</f>
        <v>3310</v>
      </c>
      <c r="G13" s="37">
        <f>ROUND(VLOOKUP($C13,Database!$B$8:$P$994,6,0),0)</f>
        <v>6176</v>
      </c>
      <c r="H13" s="37">
        <v>9000</v>
      </c>
      <c r="I13" s="37">
        <v>9060</v>
      </c>
    </row>
    <row r="14" spans="1:12" ht="20.100000000000001" customHeight="1" x14ac:dyDescent="0.2">
      <c r="B14" s="31" t="s">
        <v>1826</v>
      </c>
      <c r="C14" s="36" t="s">
        <v>1841</v>
      </c>
      <c r="D14" s="37">
        <f>ROUND(VLOOKUP($C14,Database!$B$8:$P$994,2,0),0)</f>
        <v>9308</v>
      </c>
      <c r="E14" s="94">
        <f t="shared" si="0"/>
        <v>7145</v>
      </c>
      <c r="F14" s="37">
        <f>ROUND(VLOOKUP($C14,Database!$B$8:$P$994,3,0),0)</f>
        <v>600</v>
      </c>
      <c r="G14" s="37">
        <f>ROUND(VLOOKUP($C14,Database!$B$8:$P$994,6,0),0)</f>
        <v>6545</v>
      </c>
      <c r="H14" s="37">
        <v>7000</v>
      </c>
      <c r="I14" s="37">
        <v>6210</v>
      </c>
    </row>
    <row r="15" spans="1:12" ht="20.100000000000001" customHeight="1" x14ac:dyDescent="0.2">
      <c r="B15" s="31" t="s">
        <v>1827</v>
      </c>
      <c r="C15" s="36" t="s">
        <v>1846</v>
      </c>
      <c r="D15" s="37">
        <f>ROUND(VLOOKUP($C15,Database!$B$8:$P$994,2,0),0)</f>
        <v>120</v>
      </c>
      <c r="E15" s="94">
        <f t="shared" si="0"/>
        <v>121</v>
      </c>
      <c r="F15" s="37">
        <f>ROUND(VLOOKUP($C15,Database!$B$8:$P$994,3,0),0)</f>
        <v>-400</v>
      </c>
      <c r="G15" s="37">
        <f>ROUND(VLOOKUP($C15,Database!$B$8:$P$994,6,0),0)</f>
        <v>521</v>
      </c>
      <c r="H15" s="37">
        <v>500</v>
      </c>
      <c r="I15" s="37">
        <v>466</v>
      </c>
    </row>
    <row r="16" spans="1:12" ht="20.100000000000001" customHeight="1" x14ac:dyDescent="0.2">
      <c r="B16" s="31" t="s">
        <v>1828</v>
      </c>
      <c r="C16" s="36" t="s">
        <v>1847</v>
      </c>
      <c r="D16" s="37">
        <f>ROUND(VLOOKUP($C16,Database!$B$8:$P$994,2,0),0)</f>
        <v>18500</v>
      </c>
      <c r="E16" s="94">
        <f t="shared" si="0"/>
        <v>15627</v>
      </c>
      <c r="F16" s="37">
        <f>ROUND(VLOOKUP($C16,Database!$B$8:$P$994,3,0),0)</f>
        <v>5300</v>
      </c>
      <c r="G16" s="37">
        <f>ROUND(VLOOKUP($C16,Database!$B$8:$P$994,6,0),0)</f>
        <v>10327</v>
      </c>
      <c r="H16" s="37">
        <v>18620</v>
      </c>
      <c r="I16" s="37">
        <v>17555</v>
      </c>
    </row>
    <row r="17" spans="1:9" ht="20.100000000000001" customHeight="1" x14ac:dyDescent="0.2">
      <c r="B17" s="31" t="s">
        <v>1829</v>
      </c>
      <c r="C17" s="36" t="s">
        <v>1843</v>
      </c>
      <c r="D17" s="37">
        <f>ROUND(VLOOKUP($C17,Database!$B$8:$P$994,2,0),0)</f>
        <v>6000</v>
      </c>
      <c r="E17" s="94">
        <f t="shared" si="0"/>
        <v>5996</v>
      </c>
      <c r="F17" s="37">
        <f>ROUND(VLOOKUP($C17,Database!$B$8:$P$994,3,0),0)</f>
        <v>0</v>
      </c>
      <c r="G17" s="37">
        <f>ROUND(VLOOKUP($C17,Database!$B$8:$P$994,6,0),0)</f>
        <v>5996</v>
      </c>
      <c r="H17" s="37">
        <v>5000</v>
      </c>
      <c r="I17" s="37">
        <v>5523</v>
      </c>
    </row>
    <row r="18" spans="1:9" ht="20.100000000000001" customHeight="1" x14ac:dyDescent="0.2">
      <c r="B18" s="31" t="s">
        <v>1830</v>
      </c>
      <c r="C18" s="36" t="s">
        <v>1839</v>
      </c>
      <c r="D18" s="37">
        <f>ROUND(VLOOKUP($C18,Database!$B$8:$P$994,2,0),0)</f>
        <v>8390</v>
      </c>
      <c r="E18" s="94">
        <f t="shared" si="0"/>
        <v>8109</v>
      </c>
      <c r="F18" s="37">
        <f>ROUND(VLOOKUP($C18,Database!$B$8:$P$994,3,0),0)</f>
        <v>1306</v>
      </c>
      <c r="G18" s="37">
        <f>ROUND(VLOOKUP($C18,Database!$B$8:$P$994,6,0),0)</f>
        <v>6803</v>
      </c>
      <c r="H18" s="37">
        <v>6500</v>
      </c>
      <c r="I18" s="37">
        <v>7123</v>
      </c>
    </row>
    <row r="19" spans="1:9" ht="20.100000000000001" customHeight="1" x14ac:dyDescent="0.2">
      <c r="B19" s="31" t="s">
        <v>1831</v>
      </c>
      <c r="C19" s="36" t="s">
        <v>1845</v>
      </c>
      <c r="D19" s="37">
        <f>ROUND(VLOOKUP($C19,Database!$B$8:$P$994,2,0),0)</f>
        <v>46550</v>
      </c>
      <c r="E19" s="94">
        <f t="shared" si="0"/>
        <v>38000</v>
      </c>
      <c r="F19" s="37">
        <f>ROUND(VLOOKUP($C19,Database!$B$8:$P$994,3,0),0)</f>
        <v>0</v>
      </c>
      <c r="G19" s="37">
        <f>ROUND(VLOOKUP($C19,Database!$B$8:$P$994,6,0),0)</f>
        <v>38000</v>
      </c>
      <c r="H19" s="37">
        <v>38000</v>
      </c>
      <c r="I19" s="37">
        <v>38000</v>
      </c>
    </row>
    <row r="20" spans="1:9" ht="30" customHeight="1" x14ac:dyDescent="0.25">
      <c r="D20" s="52">
        <f t="shared" ref="D20:E20" si="1">SUM(D9:D19)</f>
        <v>174550</v>
      </c>
      <c r="E20" s="52">
        <f t="shared" si="1"/>
        <v>147971</v>
      </c>
      <c r="F20" s="52">
        <f>SUM(F9:F19)</f>
        <v>23416</v>
      </c>
      <c r="G20" s="52">
        <f>SUM(G9:G19)</f>
        <v>124555</v>
      </c>
      <c r="H20" s="52">
        <f>SUM(H9:H19)</f>
        <v>146520</v>
      </c>
      <c r="I20" s="52">
        <f t="shared" ref="I20" si="2">SUM(I9:I19)</f>
        <v>142635</v>
      </c>
    </row>
    <row r="21" spans="1:9" ht="20.100000000000001" customHeight="1" x14ac:dyDescent="0.2">
      <c r="D21" s="60"/>
      <c r="E21" s="60"/>
      <c r="F21" s="37"/>
      <c r="G21" s="37"/>
      <c r="H21" s="37"/>
      <c r="I21" s="37"/>
    </row>
    <row r="22" spans="1:9" ht="20.100000000000001" customHeight="1" x14ac:dyDescent="0.25">
      <c r="A22" s="32"/>
      <c r="B22" s="32" t="s">
        <v>1833</v>
      </c>
      <c r="D22" s="60"/>
      <c r="E22" s="60"/>
      <c r="F22" s="37"/>
      <c r="G22" s="37"/>
      <c r="H22" s="37"/>
      <c r="I22" s="37"/>
    </row>
    <row r="23" spans="1:9" ht="20.100000000000001" customHeight="1" x14ac:dyDescent="0.2">
      <c r="B23" s="31" t="s">
        <v>1834</v>
      </c>
      <c r="C23" s="36" t="s">
        <v>1862</v>
      </c>
      <c r="D23" s="37">
        <f>ROUND(VLOOKUP($C23,Database!$B$8:$P$994,2,0),0)</f>
        <v>3500</v>
      </c>
      <c r="E23" s="94">
        <f t="shared" ref="E23:E41" si="3">F23+G23</f>
        <v>3116</v>
      </c>
      <c r="F23" s="37">
        <f>ROUND(VLOOKUP($C23,Database!$B$8:$P$994,3,0),0)</f>
        <v>0</v>
      </c>
      <c r="G23" s="37">
        <f>ROUND(VLOOKUP($C23,Database!$B$8:$P$994,6,0),0)</f>
        <v>3116</v>
      </c>
      <c r="H23" s="37">
        <v>4000</v>
      </c>
      <c r="I23" s="37">
        <v>1051</v>
      </c>
    </row>
    <row r="24" spans="1:9" ht="20.100000000000001" customHeight="1" x14ac:dyDescent="0.2">
      <c r="B24" s="31" t="s">
        <v>1821</v>
      </c>
      <c r="C24" s="36" t="s">
        <v>1863</v>
      </c>
      <c r="D24" s="37">
        <f>ROUND(VLOOKUP($C24,Database!$B$8:$P$994,2,0),0)</f>
        <v>25000</v>
      </c>
      <c r="E24" s="94">
        <f t="shared" si="3"/>
        <v>24196</v>
      </c>
      <c r="F24" s="37">
        <f>ROUND(VLOOKUP($C24,Database!$B$8:$P$994,3,0),0)</f>
        <v>6000</v>
      </c>
      <c r="G24" s="37">
        <f>ROUND(VLOOKUP($C24,Database!$B$8:$P$994,6,0),0)</f>
        <v>18196</v>
      </c>
      <c r="H24" s="37">
        <v>26000</v>
      </c>
      <c r="I24" s="37">
        <v>24261</v>
      </c>
    </row>
    <row r="25" spans="1:9" ht="20.100000000000001" customHeight="1" x14ac:dyDescent="0.2">
      <c r="B25" s="31" t="s">
        <v>1836</v>
      </c>
      <c r="C25" s="36" t="s">
        <v>1864</v>
      </c>
      <c r="D25" s="37">
        <f>ROUND(VLOOKUP($C25,Database!$B$8:$P$994,2,0),0)</f>
        <v>1000</v>
      </c>
      <c r="E25" s="94">
        <f t="shared" si="3"/>
        <v>1043</v>
      </c>
      <c r="F25" s="37">
        <f>ROUND(VLOOKUP($C25,Database!$B$8:$P$994,3,0),0)</f>
        <v>600</v>
      </c>
      <c r="G25" s="37">
        <f>ROUND(VLOOKUP($C25,Database!$B$8:$P$994,6,0),0)</f>
        <v>443</v>
      </c>
      <c r="H25" s="37">
        <v>1500</v>
      </c>
      <c r="I25" s="37">
        <v>5317</v>
      </c>
    </row>
    <row r="26" spans="1:9" ht="20.100000000000001" customHeight="1" x14ac:dyDescent="0.2">
      <c r="B26" s="31" t="s">
        <v>1835</v>
      </c>
      <c r="C26" s="36" t="s">
        <v>1865</v>
      </c>
      <c r="D26" s="37">
        <f>ROUND(VLOOKUP($C26,Database!$B$8:$P$994,2,0),0)</f>
        <v>1000</v>
      </c>
      <c r="E26" s="94">
        <f t="shared" si="3"/>
        <v>457</v>
      </c>
      <c r="F26" s="37">
        <f>ROUND(VLOOKUP($C26,Database!$B$8:$P$994,3,0),0)</f>
        <v>0</v>
      </c>
      <c r="G26" s="37">
        <f>ROUND(VLOOKUP($C26,Database!$B$8:$P$994,6,0),0)</f>
        <v>457</v>
      </c>
      <c r="H26" s="37">
        <v>1000</v>
      </c>
      <c r="I26" s="37">
        <v>303</v>
      </c>
    </row>
    <row r="27" spans="1:9" ht="20.100000000000001" customHeight="1" x14ac:dyDescent="0.2">
      <c r="B27" s="31" t="s">
        <v>1848</v>
      </c>
      <c r="C27" s="36" t="s">
        <v>1866</v>
      </c>
      <c r="D27" s="37">
        <f>ROUND(VLOOKUP($C27,Database!$B$8:$P$994,2,0),0)</f>
        <v>1350</v>
      </c>
      <c r="E27" s="94">
        <f t="shared" si="3"/>
        <v>1352</v>
      </c>
      <c r="F27" s="37">
        <f>ROUND(VLOOKUP($C27,Database!$B$8:$P$994,3,0),0)</f>
        <v>0</v>
      </c>
      <c r="G27" s="37">
        <f>ROUND(VLOOKUP($C27,Database!$B$8:$P$994,6,0),0)</f>
        <v>1352</v>
      </c>
      <c r="H27" s="37">
        <v>9500</v>
      </c>
      <c r="I27" s="37">
        <v>1352</v>
      </c>
    </row>
    <row r="28" spans="1:9" ht="20.100000000000001" customHeight="1" x14ac:dyDescent="0.2">
      <c r="B28" s="31" t="s">
        <v>1849</v>
      </c>
      <c r="C28" s="36" t="s">
        <v>1877</v>
      </c>
      <c r="D28" s="37">
        <f>ROUND(VLOOKUP($C28,Database!$B$8:$P$994,2,0),0)</f>
        <v>17500</v>
      </c>
      <c r="E28" s="94">
        <f t="shared" si="3"/>
        <v>17280</v>
      </c>
      <c r="F28" s="37">
        <f>ROUND(VLOOKUP($C28,Database!$B$8:$P$994,3,0),0)</f>
        <v>1500</v>
      </c>
      <c r="G28" s="37">
        <f>ROUND(VLOOKUP($C28,Database!$B$8:$P$994,6,0),0)</f>
        <v>15780</v>
      </c>
      <c r="H28" s="37">
        <v>17300</v>
      </c>
      <c r="I28" s="37">
        <v>17467</v>
      </c>
    </row>
    <row r="29" spans="1:9" ht="20.100000000000001" customHeight="1" x14ac:dyDescent="0.2">
      <c r="B29" s="31" t="s">
        <v>1850</v>
      </c>
      <c r="C29" s="36" t="s">
        <v>1880</v>
      </c>
      <c r="D29" s="37">
        <f>ROUND(VLOOKUP($C29,Database!$B$8:$P$994,2,0),0)</f>
        <v>0</v>
      </c>
      <c r="E29" s="94">
        <f t="shared" si="3"/>
        <v>0</v>
      </c>
      <c r="F29" s="37">
        <f>ROUND(VLOOKUP($C29,Database!$B$8:$P$994,3,0),0)</f>
        <v>0</v>
      </c>
      <c r="G29" s="37">
        <f>ROUND(VLOOKUP($C29,Database!$B$8:$P$994,6,0),0)</f>
        <v>0</v>
      </c>
      <c r="H29" s="37"/>
      <c r="I29" s="37">
        <v>2045</v>
      </c>
    </row>
    <row r="30" spans="1:9" ht="20.100000000000001" customHeight="1" x14ac:dyDescent="0.2">
      <c r="B30" s="31" t="s">
        <v>1851</v>
      </c>
      <c r="C30" s="36" t="s">
        <v>1874</v>
      </c>
      <c r="D30" s="37">
        <f>ROUND(VLOOKUP($C30,Database!$B$8:$P$994,2,0),0)</f>
        <v>1100</v>
      </c>
      <c r="E30" s="94">
        <f t="shared" si="3"/>
        <v>1058</v>
      </c>
      <c r="F30" s="37">
        <f>ROUND(VLOOKUP($C30,Database!$B$8:$P$994,3,0),0)</f>
        <v>85</v>
      </c>
      <c r="G30" s="37">
        <f>ROUND(VLOOKUP($C30,Database!$B$8:$P$994,6,0),0)</f>
        <v>973</v>
      </c>
      <c r="H30" s="37">
        <v>1000</v>
      </c>
      <c r="I30" s="37">
        <v>1151</v>
      </c>
    </row>
    <row r="31" spans="1:9" ht="20.100000000000001" customHeight="1" x14ac:dyDescent="0.25">
      <c r="A31" s="32"/>
      <c r="B31" s="31" t="s">
        <v>1852</v>
      </c>
      <c r="C31" s="36" t="s">
        <v>1873</v>
      </c>
      <c r="D31" s="37">
        <f>ROUND(VLOOKUP($C31,Database!$B$8:$P$994,2,0),0)</f>
        <v>4866</v>
      </c>
      <c r="E31" s="94">
        <f t="shared" si="3"/>
        <v>4055</v>
      </c>
      <c r="F31" s="37">
        <f>ROUND(VLOOKUP($C31,Database!$B$8:$P$994,3,0),0)</f>
        <v>1311</v>
      </c>
      <c r="G31" s="37">
        <f>ROUND(VLOOKUP($C31,Database!$B$8:$P$994,6,0),0)</f>
        <v>2744</v>
      </c>
      <c r="H31" s="37">
        <v>4000</v>
      </c>
      <c r="I31" s="37">
        <v>3659</v>
      </c>
    </row>
    <row r="32" spans="1:9" ht="20.100000000000001" customHeight="1" x14ac:dyDescent="0.2">
      <c r="B32" s="31" t="s">
        <v>1853</v>
      </c>
      <c r="C32" s="36" t="s">
        <v>1876</v>
      </c>
      <c r="D32" s="37">
        <f>ROUND(VLOOKUP($C32,Database!$B$8:$P$994,2,0),0)</f>
        <v>2500</v>
      </c>
      <c r="E32" s="94">
        <f t="shared" si="3"/>
        <v>2406</v>
      </c>
      <c r="F32" s="37">
        <f>ROUND(VLOOKUP($C32,Database!$B$8:$P$994,3,0),0)</f>
        <v>0</v>
      </c>
      <c r="G32" s="37">
        <f>ROUND(VLOOKUP($C32,Database!$B$8:$P$994,6,0),0)</f>
        <v>2406</v>
      </c>
      <c r="H32" s="37">
        <v>2000</v>
      </c>
      <c r="I32" s="37">
        <v>1952</v>
      </c>
    </row>
    <row r="33" spans="1:9" ht="20.100000000000001" customHeight="1" x14ac:dyDescent="0.25">
      <c r="A33" s="32"/>
      <c r="B33" s="31" t="s">
        <v>1827</v>
      </c>
      <c r="C33" s="36" t="s">
        <v>1867</v>
      </c>
      <c r="D33" s="37">
        <f>ROUND(VLOOKUP($C33,Database!$B$8:$P$994,2,0),0)</f>
        <v>0</v>
      </c>
      <c r="E33" s="94">
        <f t="shared" si="3"/>
        <v>0</v>
      </c>
      <c r="F33" s="37">
        <f>ROUND(VLOOKUP($C33,Database!$B$8:$P$994,3,0),0)</f>
        <v>0</v>
      </c>
      <c r="G33" s="37">
        <f>ROUND(VLOOKUP($C33,Database!$B$8:$P$994,6,0),0)</f>
        <v>0</v>
      </c>
      <c r="H33" s="37">
        <v>500</v>
      </c>
      <c r="I33" s="37">
        <v>0</v>
      </c>
    </row>
    <row r="34" spans="1:9" ht="20.100000000000001" customHeight="1" x14ac:dyDescent="0.2">
      <c r="B34" s="31" t="s">
        <v>1854</v>
      </c>
      <c r="C34" s="36" t="s">
        <v>1875</v>
      </c>
      <c r="D34" s="37">
        <f>ROUND(VLOOKUP($C34,Database!$B$8:$P$994,2,0),0)</f>
        <v>18800</v>
      </c>
      <c r="E34" s="94">
        <f t="shared" si="3"/>
        <v>18316</v>
      </c>
      <c r="F34" s="37">
        <f>ROUND(VLOOKUP($C34,Database!$B$8:$P$994,3,0),0)</f>
        <v>600</v>
      </c>
      <c r="G34" s="37">
        <f>ROUND(VLOOKUP($C34,Database!$B$8:$P$994,6,0),0)</f>
        <v>17716</v>
      </c>
      <c r="H34" s="37">
        <v>10000</v>
      </c>
      <c r="I34" s="37">
        <v>16470</v>
      </c>
    </row>
    <row r="35" spans="1:9" ht="20.100000000000001" customHeight="1" x14ac:dyDescent="0.2">
      <c r="B35" s="31" t="s">
        <v>1855</v>
      </c>
      <c r="C35" s="36" t="s">
        <v>1869</v>
      </c>
      <c r="D35" s="37">
        <f>ROUND(VLOOKUP($C35,Database!$B$8:$P$994,2,0),0)</f>
        <v>24500</v>
      </c>
      <c r="E35" s="94">
        <f t="shared" si="3"/>
        <v>25128</v>
      </c>
      <c r="F35" s="37">
        <f>ROUND(VLOOKUP($C35,Database!$B$8:$P$994,3,0),0)</f>
        <v>11000</v>
      </c>
      <c r="G35" s="37">
        <f>ROUND(VLOOKUP($C35,Database!$B$8:$P$994,6,0),0)</f>
        <v>14128</v>
      </c>
      <c r="H35" s="37">
        <f>26000-8000</f>
        <v>18000</v>
      </c>
      <c r="I35" s="37">
        <v>13752</v>
      </c>
    </row>
    <row r="36" spans="1:9" ht="20.100000000000001" customHeight="1" x14ac:dyDescent="0.2">
      <c r="B36" s="31" t="s">
        <v>1856</v>
      </c>
      <c r="C36" s="36" t="s">
        <v>1879</v>
      </c>
      <c r="D36" s="37">
        <f>ROUND(VLOOKUP($C36,Database!$B$8:$P$994,2,0),0)</f>
        <v>8000</v>
      </c>
      <c r="E36" s="94">
        <f t="shared" si="3"/>
        <v>6694</v>
      </c>
      <c r="F36" s="37">
        <f>ROUND(VLOOKUP($C36,Database!$B$8:$P$994,3,0),0)</f>
        <v>0</v>
      </c>
      <c r="G36" s="37">
        <f>ROUND(VLOOKUP($C36,Database!$B$8:$P$994,6,0),0)</f>
        <v>6694</v>
      </c>
      <c r="H36" s="37">
        <v>6500</v>
      </c>
      <c r="I36" s="37">
        <v>5578</v>
      </c>
    </row>
    <row r="37" spans="1:9" ht="20.100000000000001" customHeight="1" x14ac:dyDescent="0.2">
      <c r="B37" s="31" t="s">
        <v>1857</v>
      </c>
      <c r="C37" s="36" t="s">
        <v>1868</v>
      </c>
      <c r="D37" s="37">
        <f>ROUND(VLOOKUP($C37,Database!$B$8:$P$994,2,0),0)</f>
        <v>12750</v>
      </c>
      <c r="E37" s="94">
        <f t="shared" si="3"/>
        <v>12144</v>
      </c>
      <c r="F37" s="37">
        <f>ROUND(VLOOKUP($C37,Database!$B$8:$P$994,3,0),0)</f>
        <v>1012</v>
      </c>
      <c r="G37" s="37">
        <f>ROUND(VLOOKUP($C37,Database!$B$8:$P$994,6,0),0)</f>
        <v>11132</v>
      </c>
      <c r="H37" s="37">
        <v>11500</v>
      </c>
      <c r="I37" s="37">
        <v>11996</v>
      </c>
    </row>
    <row r="38" spans="1:9" ht="20.100000000000001" customHeight="1" x14ac:dyDescent="0.2">
      <c r="B38" s="31" t="s">
        <v>1858</v>
      </c>
      <c r="C38" s="36" t="s">
        <v>1872</v>
      </c>
      <c r="D38" s="37">
        <f>ROUND(VLOOKUP($C38,Database!$B$8:$P$994,2,0),0)</f>
        <v>5250</v>
      </c>
      <c r="E38" s="94">
        <f t="shared" si="3"/>
        <v>5251</v>
      </c>
      <c r="F38" s="37">
        <f>ROUND(VLOOKUP($C38,Database!$B$8:$P$994,3,0),0)</f>
        <v>1490</v>
      </c>
      <c r="G38" s="37">
        <f>ROUND(VLOOKUP($C38,Database!$B$8:$P$994,6,0),0)</f>
        <v>3761</v>
      </c>
      <c r="H38" s="37">
        <v>6500</v>
      </c>
      <c r="I38" s="37">
        <v>4005</v>
      </c>
    </row>
    <row r="39" spans="1:9" ht="20.100000000000001" customHeight="1" x14ac:dyDescent="0.25">
      <c r="A39" s="32"/>
      <c r="B39" s="31" t="s">
        <v>1859</v>
      </c>
      <c r="C39" s="36" t="s">
        <v>1870</v>
      </c>
      <c r="D39" s="37">
        <f>ROUND(VLOOKUP($C39,Database!$B$8:$P$994,2,0),0)</f>
        <v>249741</v>
      </c>
      <c r="E39" s="94">
        <f t="shared" si="3"/>
        <v>230587</v>
      </c>
      <c r="F39" s="37">
        <f>ROUND(VLOOKUP($C39,Database!$B$8:$P$994,3,0),0)</f>
        <v>91072</v>
      </c>
      <c r="G39" s="37">
        <f>ROUND(VLOOKUP($C39,Database!$B$8:$P$994,6,0),0)</f>
        <v>139515</v>
      </c>
      <c r="H39" s="37">
        <v>220000</v>
      </c>
      <c r="I39" s="37">
        <v>187202</v>
      </c>
    </row>
    <row r="40" spans="1:9" ht="20.100000000000001" customHeight="1" x14ac:dyDescent="0.2">
      <c r="B40" s="31" t="s">
        <v>1860</v>
      </c>
      <c r="C40" s="36" t="s">
        <v>1871</v>
      </c>
      <c r="D40" s="37">
        <f>ROUND(VLOOKUP($C40,Database!$B$8:$P$994,2,0),0)</f>
        <v>6000</v>
      </c>
      <c r="E40" s="94">
        <f t="shared" si="3"/>
        <v>5578</v>
      </c>
      <c r="F40" s="37">
        <f>ROUND(VLOOKUP($C40,Database!$B$8:$P$994,3,0),0)</f>
        <v>489</v>
      </c>
      <c r="G40" s="37">
        <f>ROUND(VLOOKUP($C40,Database!$B$8:$P$994,6,0),0)</f>
        <v>5089</v>
      </c>
      <c r="H40" s="37">
        <v>5000</v>
      </c>
      <c r="I40" s="37">
        <v>5693</v>
      </c>
    </row>
    <row r="41" spans="1:9" ht="20.100000000000001" customHeight="1" x14ac:dyDescent="0.2">
      <c r="B41" s="31" t="s">
        <v>1861</v>
      </c>
      <c r="C41" s="36" t="s">
        <v>1878</v>
      </c>
      <c r="D41" s="37">
        <f>ROUND(VLOOKUP($C41,Database!$B$8:$P$994,2,0),0)</f>
        <v>-168934</v>
      </c>
      <c r="E41" s="94">
        <f t="shared" si="3"/>
        <v>-158878</v>
      </c>
      <c r="F41" s="37">
        <f>ROUND(VLOOKUP($C41,Database!$B$8:$P$994,3,0),0)</f>
        <v>-158878</v>
      </c>
      <c r="G41" s="37">
        <f>ROUND(VLOOKUP($C41,Database!$B$8:$P$994,6,0),0)</f>
        <v>0</v>
      </c>
      <c r="H41" s="37">
        <v>-150000</v>
      </c>
      <c r="I41" s="37">
        <v>-119866</v>
      </c>
    </row>
    <row r="42" spans="1:9" ht="30" customHeight="1" x14ac:dyDescent="0.25">
      <c r="D42" s="52">
        <f t="shared" ref="D42:E42" si="4">SUM(D23:D41)</f>
        <v>213923</v>
      </c>
      <c r="E42" s="52">
        <f t="shared" si="4"/>
        <v>199783</v>
      </c>
      <c r="F42" s="52">
        <f>SUM(F23:F41)</f>
        <v>-43719</v>
      </c>
      <c r="G42" s="52">
        <f>SUM(G23:G41)</f>
        <v>243502</v>
      </c>
      <c r="H42" s="52">
        <f>SUM(H23:H41)</f>
        <v>194300</v>
      </c>
      <c r="I42" s="52">
        <f>SUM(I23:I41)</f>
        <v>183388</v>
      </c>
    </row>
    <row r="43" spans="1:9" ht="30" customHeight="1" x14ac:dyDescent="0.25">
      <c r="D43" s="222"/>
      <c r="E43" s="222"/>
      <c r="F43" s="222"/>
      <c r="G43" s="222"/>
      <c r="H43" s="222"/>
      <c r="I43" s="222"/>
    </row>
    <row r="44" spans="1:9" ht="30" customHeight="1" x14ac:dyDescent="0.25">
      <c r="D44" s="222"/>
      <c r="E44" s="222"/>
      <c r="F44" s="222"/>
      <c r="G44" s="222"/>
      <c r="H44" s="222"/>
      <c r="I44" s="222"/>
    </row>
    <row r="45" spans="1:9" ht="30" customHeight="1" x14ac:dyDescent="0.25">
      <c r="B45" s="32" t="s">
        <v>1813</v>
      </c>
      <c r="C45" s="36" t="s">
        <v>1916</v>
      </c>
      <c r="D45" s="117">
        <f>ROUND(VLOOKUP($C45,Database!$B$8:$P$994,2,0),0)</f>
        <v>111260</v>
      </c>
      <c r="E45" s="52">
        <f>F45+G45</f>
        <v>106852</v>
      </c>
      <c r="F45" s="117">
        <f>ROUND(VLOOKUP($C45,Database!$B$8:$P$994,3,0),0)</f>
        <v>26713</v>
      </c>
      <c r="G45" s="52">
        <f>ROUND(VLOOKUP($C45,Database!$B$8:$P$994,4,0),0)</f>
        <v>80139</v>
      </c>
      <c r="H45" s="52">
        <v>110000</v>
      </c>
      <c r="I45" s="52">
        <v>105303</v>
      </c>
    </row>
    <row r="46" spans="1:9" ht="30" customHeight="1" x14ac:dyDescent="0.25">
      <c r="D46" s="222"/>
      <c r="E46" s="222"/>
      <c r="F46" s="222"/>
      <c r="G46" s="222"/>
      <c r="H46" s="222"/>
      <c r="I46" s="222"/>
    </row>
    <row r="47" spans="1:9" ht="20.100000000000001" customHeight="1" x14ac:dyDescent="0.2">
      <c r="D47" s="60"/>
      <c r="E47" s="60"/>
      <c r="F47" s="37"/>
      <c r="G47" s="37"/>
      <c r="H47" s="37"/>
      <c r="I47" s="37"/>
    </row>
    <row r="48" spans="1:9" ht="20.100000000000001" customHeight="1" x14ac:dyDescent="0.25">
      <c r="B48" s="32" t="s">
        <v>1881</v>
      </c>
      <c r="D48" s="60"/>
      <c r="E48" s="60"/>
      <c r="F48" s="37"/>
      <c r="G48" s="37"/>
      <c r="H48" s="37"/>
      <c r="I48" s="37"/>
    </row>
    <row r="49" spans="2:9" ht="20.100000000000001" customHeight="1" x14ac:dyDescent="0.2">
      <c r="B49" s="31" t="s">
        <v>1882</v>
      </c>
      <c r="C49" s="36" t="s">
        <v>1886</v>
      </c>
      <c r="D49" s="37">
        <f>ROUND(VLOOKUP($C49,Database!$B$8:$P$994,2,0),0)</f>
        <v>26413</v>
      </c>
      <c r="E49" s="94">
        <f t="shared" ref="E49:E56" si="5">F49+G49</f>
        <v>22345</v>
      </c>
      <c r="F49" s="37">
        <f>ROUND(VLOOKUP($C49,Database!$B$8:$P$994,3,0),0)</f>
        <v>3581</v>
      </c>
      <c r="G49" s="37">
        <f>ROUND(VLOOKUP($C49,Database!$B$8:$P$994,6,0),0)</f>
        <v>18764</v>
      </c>
      <c r="H49" s="37">
        <v>26600</v>
      </c>
      <c r="I49" s="37">
        <v>25079</v>
      </c>
    </row>
    <row r="50" spans="2:9" ht="20.100000000000001" customHeight="1" x14ac:dyDescent="0.2">
      <c r="B50" s="31" t="s">
        <v>1883</v>
      </c>
      <c r="C50" s="36" t="s">
        <v>1891</v>
      </c>
      <c r="D50" s="37">
        <f>ROUND(VLOOKUP($C50,Database!$B$8:$P$994,2,0),0)</f>
        <v>12000</v>
      </c>
      <c r="E50" s="94">
        <f t="shared" si="5"/>
        <v>8783</v>
      </c>
      <c r="F50" s="37">
        <f>ROUND(VLOOKUP($C50,Database!$B$8:$P$994,3,0),0)</f>
        <v>2000</v>
      </c>
      <c r="G50" s="37">
        <f>ROUND(VLOOKUP($C50,Database!$B$8:$P$994,6,0),0)</f>
        <v>6783</v>
      </c>
      <c r="H50" s="37">
        <v>8000</v>
      </c>
      <c r="I50" s="37">
        <v>6519</v>
      </c>
    </row>
    <row r="51" spans="2:9" ht="20.100000000000001" customHeight="1" x14ac:dyDescent="0.2">
      <c r="B51" s="31" t="s">
        <v>2043</v>
      </c>
      <c r="C51" s="36" t="s">
        <v>1887</v>
      </c>
      <c r="D51" s="37">
        <f>ROUND(VLOOKUP($C51,Database!$B$8:$P$994,2,0),0)</f>
        <v>2141</v>
      </c>
      <c r="E51" s="94">
        <f t="shared" si="5"/>
        <v>2121</v>
      </c>
      <c r="F51" s="37">
        <f>ROUND(VLOOKUP($C51,Database!$B$8:$P$994,3,0),0)</f>
        <v>2031</v>
      </c>
      <c r="G51" s="37">
        <f>ROUND(VLOOKUP($C51,Database!$B$8:$P$994,6,0),0)</f>
        <v>90</v>
      </c>
      <c r="H51" s="37">
        <v>1500</v>
      </c>
      <c r="I51" s="37">
        <v>45</v>
      </c>
    </row>
    <row r="52" spans="2:9" ht="20.100000000000001" customHeight="1" x14ac:dyDescent="0.2">
      <c r="B52" s="31" t="s">
        <v>1884</v>
      </c>
      <c r="C52" s="36" t="s">
        <v>1890</v>
      </c>
      <c r="D52" s="37">
        <f>ROUND(VLOOKUP($C52,Database!$B$8:$P$994,2,0),0)</f>
        <v>8204</v>
      </c>
      <c r="E52" s="94">
        <f t="shared" si="5"/>
        <v>5043</v>
      </c>
      <c r="F52" s="37">
        <f>ROUND(VLOOKUP($C52,Database!$B$8:$P$994,3,0),0)</f>
        <v>571</v>
      </c>
      <c r="G52" s="37">
        <f>ROUND(VLOOKUP($C52,Database!$B$8:$P$994,6,0),0)</f>
        <v>4472</v>
      </c>
      <c r="H52" s="37">
        <v>6950</v>
      </c>
      <c r="I52" s="37">
        <v>4812</v>
      </c>
    </row>
    <row r="53" spans="2:9" ht="20.100000000000001" customHeight="1" x14ac:dyDescent="0.2">
      <c r="B53" s="31" t="s">
        <v>1885</v>
      </c>
      <c r="C53" s="36" t="s">
        <v>1888</v>
      </c>
      <c r="D53" s="37">
        <f>ROUND(VLOOKUP($C53,Database!$B$8:$P$994,2,0),0)</f>
        <v>14660</v>
      </c>
      <c r="E53" s="94">
        <f t="shared" si="5"/>
        <v>13296</v>
      </c>
      <c r="F53" s="37">
        <f>ROUND(VLOOKUP($C53,Database!$B$8:$P$994,3,0),0)</f>
        <v>1184</v>
      </c>
      <c r="G53" s="37">
        <f>ROUND(VLOOKUP($C53,Database!$B$8:$P$994,6,0),0)</f>
        <v>12112</v>
      </c>
      <c r="H53" s="37">
        <v>9700</v>
      </c>
      <c r="I53" s="37">
        <v>20474</v>
      </c>
    </row>
    <row r="54" spans="2:9" ht="20.100000000000001" customHeight="1" x14ac:dyDescent="0.2">
      <c r="B54" s="31" t="s">
        <v>1892</v>
      </c>
      <c r="C54" s="36" t="s">
        <v>1893</v>
      </c>
      <c r="D54" s="37">
        <f>ROUND(VLOOKUP($C54,Database!$B$8:$P$994,2,0),0)</f>
        <v>8350</v>
      </c>
      <c r="E54" s="94">
        <f t="shared" si="5"/>
        <v>5428</v>
      </c>
      <c r="F54" s="37">
        <f>ROUND(VLOOKUP($C54,Database!$B$8:$P$994,3,0),0)</f>
        <v>0</v>
      </c>
      <c r="G54" s="37">
        <f>ROUND(VLOOKUP($C54,Database!$B$8:$P$994,6,0),0)</f>
        <v>5428</v>
      </c>
      <c r="H54" s="37">
        <v>8500</v>
      </c>
      <c r="I54" s="37">
        <v>9640</v>
      </c>
    </row>
    <row r="55" spans="2:9" ht="39.75" customHeight="1" x14ac:dyDescent="0.2">
      <c r="B55" s="40" t="s">
        <v>2053</v>
      </c>
      <c r="C55" s="36" t="s">
        <v>1889</v>
      </c>
      <c r="D55" s="37">
        <f>ROUND(VLOOKUP($C55,Database!$B$8:$P$994,2,0),0)</f>
        <v>-18500</v>
      </c>
      <c r="E55" s="94">
        <f t="shared" si="5"/>
        <v>-15627</v>
      </c>
      <c r="F55" s="37">
        <f>ROUND(VLOOKUP($C55,Database!$B$8:$P$994,3,0),0)</f>
        <v>-5300</v>
      </c>
      <c r="G55" s="37">
        <f>ROUND(VLOOKUP($C55,Database!$B$8:$P$994,6,0),0)</f>
        <v>-10327</v>
      </c>
      <c r="H55" s="37">
        <v>-18620</v>
      </c>
      <c r="I55" s="37">
        <v>-17555</v>
      </c>
    </row>
    <row r="56" spans="2:9" ht="39.75" customHeight="1" x14ac:dyDescent="0.2">
      <c r="B56" s="40" t="s">
        <v>2038</v>
      </c>
      <c r="C56" s="36"/>
      <c r="D56" s="37">
        <v>0</v>
      </c>
      <c r="E56" s="94">
        <f t="shared" si="5"/>
        <v>0</v>
      </c>
      <c r="F56" s="37">
        <v>0</v>
      </c>
      <c r="G56" s="37">
        <v>0</v>
      </c>
      <c r="H56" s="37">
        <v>9200</v>
      </c>
      <c r="I56" s="37">
        <v>0</v>
      </c>
    </row>
    <row r="57" spans="2:9" ht="30" customHeight="1" x14ac:dyDescent="0.25">
      <c r="D57" s="52">
        <f t="shared" ref="D57:E57" si="6">SUM(D49:D56)</f>
        <v>53268</v>
      </c>
      <c r="E57" s="52">
        <f t="shared" si="6"/>
        <v>41389</v>
      </c>
      <c r="F57" s="52">
        <f>SUM(F49:F56)</f>
        <v>4067</v>
      </c>
      <c r="G57" s="52">
        <f>SUM(G49:G56)</f>
        <v>37322</v>
      </c>
      <c r="H57" s="52">
        <f>SUM(H49:H56)</f>
        <v>51830</v>
      </c>
      <c r="I57" s="52">
        <f>SUM(I49:I56)</f>
        <v>49014</v>
      </c>
    </row>
    <row r="58" spans="2:9" ht="20.100000000000001" customHeight="1" x14ac:dyDescent="0.2">
      <c r="D58" s="60"/>
      <c r="E58" s="60"/>
      <c r="F58" s="37"/>
      <c r="G58" s="37"/>
      <c r="H58" s="37"/>
      <c r="I58" s="37"/>
    </row>
    <row r="59" spans="2:9" ht="20.100000000000001" customHeight="1" x14ac:dyDescent="0.25">
      <c r="B59" s="32" t="s">
        <v>1894</v>
      </c>
      <c r="D59" s="60"/>
      <c r="E59" s="60"/>
      <c r="F59" s="37"/>
      <c r="G59" s="37"/>
      <c r="H59" s="37"/>
      <c r="I59" s="37"/>
    </row>
    <row r="60" spans="2:9" ht="20.100000000000001" customHeight="1" x14ac:dyDescent="0.2">
      <c r="B60" s="31" t="s">
        <v>1821</v>
      </c>
      <c r="C60" s="36" t="s">
        <v>1910</v>
      </c>
      <c r="D60" s="37">
        <f>ROUND(VLOOKUP($C60,Database!$B$8:$P$994,2,0),0)</f>
        <v>23000</v>
      </c>
      <c r="E60" s="94">
        <f t="shared" ref="E60:E66" si="7">F60+G60</f>
        <v>20250</v>
      </c>
      <c r="F60" s="37">
        <f>ROUND(VLOOKUP($C60,Database!$B$8:$P$994,3,0),0)</f>
        <v>7000</v>
      </c>
      <c r="G60" s="37">
        <f>ROUND(VLOOKUP($C60,Database!$B$8:$P$994,6,0),0)</f>
        <v>13250</v>
      </c>
      <c r="H60" s="37">
        <v>14000</v>
      </c>
      <c r="I60" s="37">
        <v>17667</v>
      </c>
    </row>
    <row r="61" spans="2:9" ht="20.100000000000001" customHeight="1" x14ac:dyDescent="0.2">
      <c r="B61" s="31" t="s">
        <v>1895</v>
      </c>
      <c r="C61" s="36" t="s">
        <v>1913</v>
      </c>
      <c r="D61" s="37">
        <f>ROUND(VLOOKUP($C61,Database!$B$8:$P$994,2,0),0)</f>
        <v>22000</v>
      </c>
      <c r="E61" s="94">
        <f t="shared" si="7"/>
        <v>21496</v>
      </c>
      <c r="F61" s="37">
        <f>ROUND(VLOOKUP($C61,Database!$B$8:$P$994,3,0),0)</f>
        <v>3600</v>
      </c>
      <c r="G61" s="37">
        <f>ROUND(VLOOKUP($C61,Database!$B$8:$P$994,6,0),0)</f>
        <v>17896</v>
      </c>
      <c r="H61" s="37">
        <v>22000</v>
      </c>
      <c r="I61" s="37">
        <v>19883</v>
      </c>
    </row>
    <row r="62" spans="2:9" ht="20.100000000000001" customHeight="1" x14ac:dyDescent="0.2">
      <c r="B62" s="31" t="s">
        <v>1826</v>
      </c>
      <c r="C62" s="36" t="s">
        <v>1914</v>
      </c>
      <c r="D62" s="37">
        <f>ROUND(VLOOKUP($C62,Database!$B$8:$P$994,2,0),0)</f>
        <v>4388</v>
      </c>
      <c r="E62" s="94">
        <f t="shared" si="7"/>
        <v>4454</v>
      </c>
      <c r="F62" s="37">
        <f>ROUND(VLOOKUP($C62,Database!$B$8:$P$994,3,0),0)</f>
        <v>400</v>
      </c>
      <c r="G62" s="37">
        <f>ROUND(VLOOKUP($C62,Database!$B$8:$P$994,6,0),0)</f>
        <v>4054</v>
      </c>
      <c r="H62" s="37">
        <f>14600+5000</f>
        <v>19600</v>
      </c>
      <c r="I62" s="37">
        <v>3761</v>
      </c>
    </row>
    <row r="63" spans="2:9" ht="20.100000000000001" customHeight="1" x14ac:dyDescent="0.2">
      <c r="B63" s="31" t="s">
        <v>1896</v>
      </c>
      <c r="C63" s="36" t="s">
        <v>1915</v>
      </c>
      <c r="D63" s="37">
        <f>ROUND(VLOOKUP($C63,Database!$B$8:$P$994,2,0),0)</f>
        <v>22399</v>
      </c>
      <c r="E63" s="94">
        <f t="shared" si="7"/>
        <v>12798</v>
      </c>
      <c r="F63" s="37">
        <f>ROUND(VLOOKUP($C63,Database!$B$8:$P$994,3,0),0)</f>
        <v>1145</v>
      </c>
      <c r="G63" s="37">
        <f>ROUND(VLOOKUP($C63,Database!$B$8:$P$994,6,0),0)</f>
        <v>11653</v>
      </c>
      <c r="H63" s="37">
        <f>1200+3000+6000+5000</f>
        <v>15200</v>
      </c>
      <c r="I63" s="37">
        <v>7600</v>
      </c>
    </row>
    <row r="64" spans="2:9" ht="20.100000000000001" customHeight="1" x14ac:dyDescent="0.2">
      <c r="B64" s="31" t="s">
        <v>1897</v>
      </c>
      <c r="C64" s="36" t="s">
        <v>1912</v>
      </c>
      <c r="D64" s="37">
        <f>ROUND(VLOOKUP($C64,Database!$B$8:$P$994,2,0),0)</f>
        <v>63775</v>
      </c>
      <c r="E64" s="94">
        <f t="shared" si="7"/>
        <v>60500</v>
      </c>
      <c r="F64" s="37">
        <f>ROUND(VLOOKUP($C64,Database!$B$8:$P$994,3,0),0)</f>
        <v>11990</v>
      </c>
      <c r="G64" s="37">
        <f>ROUND(VLOOKUP($C64,Database!$B$8:$P$994,6,0),0)</f>
        <v>48510</v>
      </c>
      <c r="H64" s="37">
        <f>60500+1000</f>
        <v>61500</v>
      </c>
      <c r="I64" s="37">
        <v>55419</v>
      </c>
    </row>
    <row r="65" spans="2:9" ht="20.100000000000001" customHeight="1" x14ac:dyDescent="0.2">
      <c r="B65" s="31" t="s">
        <v>1898</v>
      </c>
      <c r="C65" s="36" t="s">
        <v>1911</v>
      </c>
      <c r="D65" s="37">
        <f>ROUND(VLOOKUP($C65,Database!$B$8:$P$994,2,0),0)</f>
        <v>7000</v>
      </c>
      <c r="E65" s="94">
        <f t="shared" si="7"/>
        <v>5598</v>
      </c>
      <c r="F65" s="37">
        <f>ROUND(VLOOKUP($C65,Database!$B$8:$P$994,3,0),0)</f>
        <v>1300</v>
      </c>
      <c r="G65" s="37">
        <f>ROUND(VLOOKUP($C65,Database!$B$8:$P$994,6,0),0)</f>
        <v>4298</v>
      </c>
      <c r="H65" s="37">
        <f>5200+3000</f>
        <v>8200</v>
      </c>
      <c r="I65" s="37">
        <v>8386</v>
      </c>
    </row>
    <row r="66" spans="2:9" ht="20.100000000000001" customHeight="1" x14ac:dyDescent="0.2">
      <c r="B66" s="31" t="s">
        <v>2111</v>
      </c>
      <c r="C66" s="36" t="s">
        <v>2113</v>
      </c>
      <c r="D66" s="37">
        <f>ROUND(VLOOKUP($C66,Database!$B$8:$P$994,2,0),0)</f>
        <v>15814</v>
      </c>
      <c r="E66" s="94">
        <f t="shared" si="7"/>
        <v>15098</v>
      </c>
      <c r="F66" s="37">
        <f>ROUND(VLOOKUP($C66,Database!$B$8:$P$994,3,0),0)</f>
        <v>15098</v>
      </c>
      <c r="G66" s="37">
        <f>ROUND(VLOOKUP($C66,Database!$B$8:$P$994,6,0),0)</f>
        <v>0</v>
      </c>
      <c r="H66" s="37">
        <v>12000</v>
      </c>
      <c r="I66" s="116">
        <v>0</v>
      </c>
    </row>
    <row r="67" spans="2:9" ht="30" customHeight="1" x14ac:dyDescent="0.25">
      <c r="D67" s="52">
        <f t="shared" ref="D67:E67" si="8">SUM(D60:D66)</f>
        <v>158376</v>
      </c>
      <c r="E67" s="52">
        <f t="shared" si="8"/>
        <v>140194</v>
      </c>
      <c r="F67" s="52">
        <f>SUM(F60:F66)</f>
        <v>40533</v>
      </c>
      <c r="G67" s="52">
        <f>SUM(G60:G66)</f>
        <v>99661</v>
      </c>
      <c r="H67" s="52">
        <f>SUM(H60:H66)</f>
        <v>152500</v>
      </c>
      <c r="I67" s="52">
        <f>SUM(I60:I66)</f>
        <v>112716</v>
      </c>
    </row>
    <row r="68" spans="2:9" ht="20.100000000000001" customHeight="1" x14ac:dyDescent="0.2">
      <c r="D68" s="60"/>
      <c r="E68" s="60"/>
      <c r="F68" s="37"/>
      <c r="G68" s="37"/>
      <c r="H68" s="37"/>
      <c r="I68" s="37"/>
    </row>
    <row r="69" spans="2:9" ht="20.100000000000001" customHeight="1" x14ac:dyDescent="0.25">
      <c r="B69" s="32" t="s">
        <v>1899</v>
      </c>
      <c r="D69" s="60"/>
      <c r="E69" s="60"/>
      <c r="F69" s="37"/>
      <c r="G69" s="37"/>
      <c r="H69" s="37"/>
      <c r="I69" s="37"/>
    </row>
    <row r="70" spans="2:9" ht="20.100000000000001" customHeight="1" x14ac:dyDescent="0.2">
      <c r="B70" s="31" t="s">
        <v>1821</v>
      </c>
      <c r="C70" s="36" t="s">
        <v>1906</v>
      </c>
      <c r="D70" s="37">
        <f>ROUND(VLOOKUP($C70,Database!$B$8:$P$994,2,0),0)</f>
        <v>30000</v>
      </c>
      <c r="E70" s="94">
        <f t="shared" ref="E70:E77" si="9">F70+G70</f>
        <v>28131</v>
      </c>
      <c r="F70" s="37">
        <f>ROUND(VLOOKUP($C70,Database!$B$8:$P$994,3,0),0)</f>
        <v>7000</v>
      </c>
      <c r="G70" s="37">
        <f>ROUND(VLOOKUP($C70,Database!$B$8:$P$994,6,0),0)</f>
        <v>21131</v>
      </c>
      <c r="H70" s="37">
        <v>25000</v>
      </c>
      <c r="I70" s="37">
        <v>28175</v>
      </c>
    </row>
    <row r="71" spans="2:9" ht="20.100000000000001" customHeight="1" x14ac:dyDescent="0.2">
      <c r="B71" s="31" t="s">
        <v>2056</v>
      </c>
      <c r="C71" s="36" t="s">
        <v>1903</v>
      </c>
      <c r="D71" s="37">
        <f>ROUND(VLOOKUP($C71,Database!$B$8:$P$994,2,0),0)</f>
        <v>3000</v>
      </c>
      <c r="E71" s="94">
        <f t="shared" si="9"/>
        <v>1738</v>
      </c>
      <c r="F71" s="37">
        <f>ROUND(VLOOKUP($C71,Database!$B$8:$P$994,3,0),0)</f>
        <v>0</v>
      </c>
      <c r="G71" s="37">
        <f>ROUND(VLOOKUP($C71,Database!$B$8:$P$994,6,0),0)</f>
        <v>1738</v>
      </c>
      <c r="H71" s="37">
        <v>4000</v>
      </c>
      <c r="I71" s="37">
        <v>6101</v>
      </c>
    </row>
    <row r="72" spans="2:9" ht="20.100000000000001" customHeight="1" x14ac:dyDescent="0.2">
      <c r="B72" s="31" t="s">
        <v>1826</v>
      </c>
      <c r="C72" s="36" t="s">
        <v>1904</v>
      </c>
      <c r="D72" s="37">
        <f>ROUND(VLOOKUP($C72,Database!$B$8:$P$994,2,0),0)</f>
        <v>0</v>
      </c>
      <c r="E72" s="94">
        <f t="shared" si="9"/>
        <v>0</v>
      </c>
      <c r="F72" s="37">
        <f>ROUND(VLOOKUP($C72,Database!$B$8:$P$994,3,0),0)</f>
        <v>0</v>
      </c>
      <c r="G72" s="37">
        <f>ROUND(VLOOKUP($C72,Database!$B$8:$P$994,6,0),0)</f>
        <v>0</v>
      </c>
      <c r="H72" s="37"/>
      <c r="I72" s="37">
        <v>228</v>
      </c>
    </row>
    <row r="73" spans="2:9" ht="20.100000000000001" customHeight="1" x14ac:dyDescent="0.2">
      <c r="B73" s="31" t="s">
        <v>1827</v>
      </c>
      <c r="C73" s="87"/>
      <c r="D73" s="37">
        <v>0</v>
      </c>
      <c r="E73" s="94">
        <f t="shared" si="9"/>
        <v>0</v>
      </c>
      <c r="F73" s="37">
        <v>0</v>
      </c>
      <c r="G73" s="37">
        <v>0</v>
      </c>
      <c r="H73" s="37">
        <v>500</v>
      </c>
      <c r="I73" s="37">
        <v>0</v>
      </c>
    </row>
    <row r="74" spans="2:9" ht="20.100000000000001" customHeight="1" x14ac:dyDescent="0.2">
      <c r="B74" s="31" t="s">
        <v>1859</v>
      </c>
      <c r="C74" s="36" t="s">
        <v>1902</v>
      </c>
      <c r="D74" s="37">
        <f>ROUND(VLOOKUP($C74,Database!$B$8:$P$994,2,0),0)</f>
        <v>127988</v>
      </c>
      <c r="E74" s="94">
        <f t="shared" si="9"/>
        <v>120419</v>
      </c>
      <c r="F74" s="37">
        <f>ROUND(VLOOKUP($C74,Database!$B$8:$P$994,3,0),0)</f>
        <v>5375</v>
      </c>
      <c r="G74" s="37">
        <f>ROUND(VLOOKUP($C74,Database!$B$8:$P$994,6,0),0)</f>
        <v>115044</v>
      </c>
      <c r="H74" s="37">
        <v>126000</v>
      </c>
      <c r="I74" s="37">
        <v>125513</v>
      </c>
    </row>
    <row r="75" spans="2:9" ht="20.100000000000001" customHeight="1" x14ac:dyDescent="0.2">
      <c r="B75" s="31" t="s">
        <v>1900</v>
      </c>
      <c r="C75" s="36" t="s">
        <v>1909</v>
      </c>
      <c r="D75" s="37">
        <f>ROUND(VLOOKUP($C75,Database!$B$8:$P$994,2,0),0)</f>
        <v>32000</v>
      </c>
      <c r="E75" s="94">
        <f t="shared" si="9"/>
        <v>32020</v>
      </c>
      <c r="F75" s="37">
        <f>ROUND(VLOOKUP($C75,Database!$B$8:$P$994,3,0),0)</f>
        <v>8000</v>
      </c>
      <c r="G75" s="37">
        <f>ROUND(VLOOKUP($C75,Database!$B$8:$P$994,6,0),0)</f>
        <v>24020</v>
      </c>
      <c r="H75" s="37">
        <v>10000</v>
      </c>
      <c r="I75" s="37">
        <v>25902</v>
      </c>
    </row>
    <row r="76" spans="2:9" ht="20.100000000000001" customHeight="1" x14ac:dyDescent="0.2">
      <c r="B76" s="31" t="s">
        <v>1901</v>
      </c>
      <c r="C76" s="36" t="s">
        <v>1905</v>
      </c>
      <c r="D76" s="37">
        <f>ROUND(VLOOKUP($C76,Database!$B$8:$P$994,2,0),0)</f>
        <v>2000</v>
      </c>
      <c r="E76" s="94">
        <f>F76+G76</f>
        <v>2571</v>
      </c>
      <c r="F76" s="37">
        <f>ROUND(VLOOKUP($C76,Database!$B$8:$P$994,3,0),0)</f>
        <v>-8000</v>
      </c>
      <c r="G76" s="37">
        <f>ROUND(VLOOKUP($C76,Database!$B$8:$P$994,6,0),0)</f>
        <v>10571</v>
      </c>
      <c r="H76" s="37">
        <v>2500</v>
      </c>
      <c r="I76" s="37">
        <v>3531</v>
      </c>
    </row>
    <row r="77" spans="2:9" ht="20.100000000000001" customHeight="1" x14ac:dyDescent="0.2">
      <c r="B77" s="31" t="s">
        <v>1908</v>
      </c>
      <c r="C77" s="36" t="s">
        <v>1907</v>
      </c>
      <c r="D77" s="37">
        <f>ROUND(VLOOKUP($C77,Database!$B$8:$P$994,2,0),0)</f>
        <v>1150</v>
      </c>
      <c r="E77" s="94">
        <f t="shared" si="9"/>
        <v>396</v>
      </c>
      <c r="F77" s="37">
        <f>ROUND(VLOOKUP($C77,Database!$B$8:$P$994,3,0),0)</f>
        <v>0</v>
      </c>
      <c r="G77" s="37">
        <f>ROUND(VLOOKUP($C77,Database!$B$8:$P$994,6,0),0)</f>
        <v>396</v>
      </c>
      <c r="H77" s="37">
        <v>500</v>
      </c>
      <c r="I77" s="37">
        <v>399</v>
      </c>
    </row>
    <row r="78" spans="2:9" ht="30" customHeight="1" x14ac:dyDescent="0.25">
      <c r="D78" s="52">
        <f t="shared" ref="D78" si="10">SUM(D70:D77)</f>
        <v>196138</v>
      </c>
      <c r="E78" s="52">
        <f>SUM(E70:E77)</f>
        <v>185275</v>
      </c>
      <c r="F78" s="52">
        <f>SUM(F70:F77)</f>
        <v>12375</v>
      </c>
      <c r="G78" s="52">
        <f>SUM(G70:G77)</f>
        <v>172900</v>
      </c>
      <c r="H78" s="52">
        <f>SUM(H70:H77)</f>
        <v>168500</v>
      </c>
      <c r="I78" s="52">
        <f>SUM(I70:I77)</f>
        <v>189849</v>
      </c>
    </row>
    <row r="79" spans="2:9" ht="20.100000000000001" customHeight="1" x14ac:dyDescent="0.25">
      <c r="F79" s="37"/>
      <c r="G79" s="38"/>
      <c r="H79" s="38"/>
      <c r="I79" s="37"/>
    </row>
    <row r="81" spans="6:9" ht="20.100000000000001" customHeight="1" x14ac:dyDescent="0.2">
      <c r="F81" s="37"/>
      <c r="G81" s="37"/>
      <c r="H81" s="37"/>
      <c r="I81" s="37"/>
    </row>
    <row r="82" spans="6:9" ht="20.100000000000001" customHeight="1" x14ac:dyDescent="0.2">
      <c r="F82" s="37"/>
      <c r="G82" s="37"/>
      <c r="H82" s="37"/>
      <c r="I82" s="37"/>
    </row>
    <row r="83" spans="6:9" ht="20.100000000000001" customHeight="1" x14ac:dyDescent="0.2">
      <c r="F83" s="37"/>
      <c r="G83" s="37"/>
      <c r="H83" s="37"/>
      <c r="I83" s="37"/>
    </row>
    <row r="84" spans="6:9" ht="20.100000000000001" customHeight="1" x14ac:dyDescent="0.2">
      <c r="F84" s="37"/>
      <c r="G84" s="37"/>
      <c r="H84" s="37"/>
      <c r="I84" s="37"/>
    </row>
    <row r="85" spans="6:9" ht="20.100000000000001" customHeight="1" x14ac:dyDescent="0.2">
      <c r="F85" s="37"/>
      <c r="G85" s="37"/>
      <c r="H85" s="37"/>
      <c r="I85" s="37"/>
    </row>
    <row r="86" spans="6:9" ht="20.100000000000001" customHeight="1" x14ac:dyDescent="0.2">
      <c r="F86" s="37"/>
      <c r="G86" s="37"/>
      <c r="H86" s="37"/>
      <c r="I86" s="37"/>
    </row>
    <row r="87" spans="6:9" ht="20.100000000000001" customHeight="1" x14ac:dyDescent="0.2">
      <c r="F87" s="37"/>
      <c r="G87" s="37"/>
      <c r="H87" s="37"/>
      <c r="I87" s="37"/>
    </row>
    <row r="88" spans="6:9" ht="20.100000000000001" customHeight="1" x14ac:dyDescent="0.2">
      <c r="F88" s="37"/>
      <c r="G88" s="37"/>
      <c r="H88" s="37"/>
      <c r="I88" s="37"/>
    </row>
    <row r="89" spans="6:9" ht="20.100000000000001" customHeight="1" x14ac:dyDescent="0.2">
      <c r="F89" s="37"/>
      <c r="G89" s="37"/>
      <c r="H89" s="37"/>
      <c r="I89" s="37"/>
    </row>
    <row r="90" spans="6:9" ht="20.100000000000001" customHeight="1" x14ac:dyDescent="0.2">
      <c r="F90" s="37"/>
      <c r="G90" s="37"/>
      <c r="H90" s="37"/>
      <c r="I90" s="37"/>
    </row>
    <row r="91" spans="6:9" ht="20.100000000000001" customHeight="1" x14ac:dyDescent="0.2">
      <c r="F91" s="37"/>
      <c r="G91" s="37"/>
      <c r="H91" s="37"/>
      <c r="I91" s="37"/>
    </row>
    <row r="92" spans="6:9" ht="20.100000000000001" customHeight="1" x14ac:dyDescent="0.2">
      <c r="F92" s="37"/>
      <c r="G92" s="37"/>
      <c r="H92" s="37"/>
      <c r="I92" s="37"/>
    </row>
    <row r="93" spans="6:9" ht="20.100000000000001" customHeight="1" x14ac:dyDescent="0.2">
      <c r="F93" s="37"/>
      <c r="G93" s="37"/>
      <c r="H93" s="37"/>
      <c r="I93" s="37"/>
    </row>
    <row r="94" spans="6:9" ht="20.100000000000001" customHeight="1" x14ac:dyDescent="0.2">
      <c r="F94" s="37"/>
      <c r="G94" s="37"/>
      <c r="H94" s="37"/>
      <c r="I94" s="37"/>
    </row>
    <row r="95" spans="6:9" ht="20.100000000000001" customHeight="1" x14ac:dyDescent="0.2">
      <c r="F95" s="37"/>
      <c r="G95" s="37"/>
      <c r="H95" s="37"/>
      <c r="I95" s="37"/>
    </row>
    <row r="96" spans="6:9" ht="20.100000000000001" customHeight="1" x14ac:dyDescent="0.2">
      <c r="F96" s="37"/>
      <c r="G96" s="37"/>
      <c r="H96" s="37"/>
      <c r="I96" s="37"/>
    </row>
    <row r="97" spans="6:9" ht="20.100000000000001" customHeight="1" x14ac:dyDescent="0.2">
      <c r="F97" s="37"/>
      <c r="G97" s="37"/>
      <c r="H97" s="37"/>
      <c r="I97" s="37"/>
    </row>
    <row r="98" spans="6:9" ht="20.100000000000001" customHeight="1" x14ac:dyDescent="0.2">
      <c r="F98" s="37"/>
      <c r="G98" s="37"/>
      <c r="H98" s="37"/>
      <c r="I98" s="37"/>
    </row>
    <row r="99" spans="6:9" ht="20.100000000000001" customHeight="1" x14ac:dyDescent="0.2">
      <c r="F99" s="37"/>
      <c r="G99" s="37"/>
      <c r="H99" s="37"/>
      <c r="I99" s="37"/>
    </row>
    <row r="100" spans="6:9" ht="20.100000000000001" customHeight="1" x14ac:dyDescent="0.2">
      <c r="F100" s="37"/>
      <c r="G100" s="37"/>
      <c r="H100" s="37"/>
      <c r="I100" s="37"/>
    </row>
    <row r="101" spans="6:9" ht="20.100000000000001" customHeight="1" x14ac:dyDescent="0.2">
      <c r="F101" s="37"/>
      <c r="G101" s="37"/>
      <c r="H101" s="37"/>
      <c r="I101" s="37"/>
    </row>
    <row r="102" spans="6:9" ht="20.100000000000001" customHeight="1" x14ac:dyDescent="0.2">
      <c r="F102" s="37"/>
      <c r="G102" s="37"/>
      <c r="H102" s="37"/>
      <c r="I102" s="37"/>
    </row>
    <row r="103" spans="6:9" ht="20.100000000000001" customHeight="1" x14ac:dyDescent="0.2">
      <c r="F103" s="37"/>
      <c r="G103" s="37"/>
      <c r="H103" s="37"/>
      <c r="I103" s="37"/>
    </row>
    <row r="104" spans="6:9" ht="20.100000000000001" customHeight="1" x14ac:dyDescent="0.2">
      <c r="F104" s="37"/>
      <c r="G104" s="37"/>
      <c r="H104" s="37"/>
      <c r="I104" s="37"/>
    </row>
    <row r="105" spans="6:9" ht="20.100000000000001" customHeight="1" x14ac:dyDescent="0.2">
      <c r="F105" s="37"/>
      <c r="G105" s="37"/>
      <c r="H105" s="37"/>
      <c r="I105" s="37"/>
    </row>
    <row r="106" spans="6:9" ht="20.100000000000001" customHeight="1" x14ac:dyDescent="0.2">
      <c r="F106" s="37"/>
      <c r="G106" s="37"/>
      <c r="H106" s="37"/>
      <c r="I106" s="37"/>
    </row>
    <row r="107" spans="6:9" ht="20.100000000000001" customHeight="1" x14ac:dyDescent="0.2">
      <c r="F107" s="37"/>
      <c r="G107" s="37"/>
      <c r="H107" s="37"/>
      <c r="I107" s="37"/>
    </row>
    <row r="108" spans="6:9" ht="20.100000000000001" customHeight="1" x14ac:dyDescent="0.2">
      <c r="F108" s="37"/>
      <c r="G108" s="37"/>
      <c r="H108" s="37"/>
      <c r="I108" s="37"/>
    </row>
    <row r="109" spans="6:9" ht="20.100000000000001" customHeight="1" x14ac:dyDescent="0.2">
      <c r="F109" s="37"/>
      <c r="G109" s="37"/>
      <c r="H109" s="37"/>
      <c r="I109" s="37"/>
    </row>
    <row r="110" spans="6:9" ht="20.100000000000001" customHeight="1" x14ac:dyDescent="0.2">
      <c r="F110" s="37"/>
      <c r="G110" s="37"/>
      <c r="H110" s="37"/>
      <c r="I110" s="37"/>
    </row>
    <row r="111" spans="6:9" ht="20.100000000000001" customHeight="1" x14ac:dyDescent="0.2">
      <c r="F111" s="37"/>
      <c r="G111" s="37"/>
      <c r="H111" s="37"/>
      <c r="I111" s="37"/>
    </row>
    <row r="112" spans="6:9" ht="20.100000000000001" customHeight="1" x14ac:dyDescent="0.2">
      <c r="F112" s="37"/>
      <c r="G112" s="37"/>
      <c r="H112" s="37"/>
      <c r="I112" s="37"/>
    </row>
    <row r="113" spans="6:9" ht="20.100000000000001" customHeight="1" x14ac:dyDescent="0.2">
      <c r="F113" s="37"/>
      <c r="G113" s="37"/>
      <c r="H113" s="37"/>
      <c r="I113" s="37"/>
    </row>
    <row r="114" spans="6:9" ht="20.100000000000001" customHeight="1" x14ac:dyDescent="0.2">
      <c r="F114" s="37"/>
      <c r="G114" s="37"/>
      <c r="H114" s="37"/>
      <c r="I114" s="37"/>
    </row>
    <row r="115" spans="6:9" ht="20.100000000000001" customHeight="1" x14ac:dyDescent="0.2">
      <c r="F115" s="37"/>
      <c r="G115" s="37"/>
      <c r="H115" s="37"/>
      <c r="I115" s="37"/>
    </row>
    <row r="116" spans="6:9" ht="20.100000000000001" customHeight="1" x14ac:dyDescent="0.2">
      <c r="F116" s="37"/>
      <c r="G116" s="37"/>
      <c r="H116" s="37"/>
      <c r="I116" s="37"/>
    </row>
    <row r="117" spans="6:9" ht="20.100000000000001" customHeight="1" x14ac:dyDescent="0.2">
      <c r="F117" s="37"/>
      <c r="G117" s="37"/>
      <c r="H117" s="37"/>
      <c r="I117" s="37"/>
    </row>
    <row r="118" spans="6:9" ht="20.100000000000001" customHeight="1" x14ac:dyDescent="0.2">
      <c r="F118" s="37"/>
      <c r="G118" s="37"/>
      <c r="H118" s="37"/>
      <c r="I118" s="37"/>
    </row>
    <row r="119" spans="6:9" ht="20.100000000000001" customHeight="1" x14ac:dyDescent="0.2">
      <c r="F119" s="37"/>
      <c r="G119" s="37"/>
      <c r="H119" s="37"/>
      <c r="I119" s="37"/>
    </row>
    <row r="120" spans="6:9" ht="20.100000000000001" customHeight="1" x14ac:dyDescent="0.2">
      <c r="F120" s="37"/>
      <c r="G120" s="37"/>
      <c r="H120" s="37"/>
      <c r="I120" s="37"/>
    </row>
    <row r="121" spans="6:9" ht="20.100000000000001" customHeight="1" x14ac:dyDescent="0.2">
      <c r="F121" s="37"/>
      <c r="G121" s="37"/>
      <c r="H121" s="37"/>
      <c r="I121" s="37"/>
    </row>
    <row r="122" spans="6:9" ht="20.100000000000001" customHeight="1" x14ac:dyDescent="0.2">
      <c r="F122" s="37"/>
      <c r="G122" s="37"/>
      <c r="H122" s="37"/>
      <c r="I122" s="37"/>
    </row>
    <row r="123" spans="6:9" ht="20.100000000000001" customHeight="1" x14ac:dyDescent="0.2">
      <c r="F123" s="37"/>
      <c r="G123" s="37"/>
      <c r="H123" s="37"/>
      <c r="I123" s="37"/>
    </row>
    <row r="124" spans="6:9" ht="20.100000000000001" customHeight="1" x14ac:dyDescent="0.2">
      <c r="F124" s="37"/>
      <c r="G124" s="37"/>
      <c r="H124" s="37"/>
      <c r="I124" s="37"/>
    </row>
    <row r="125" spans="6:9" ht="20.100000000000001" customHeight="1" x14ac:dyDescent="0.2">
      <c r="F125" s="37"/>
      <c r="G125" s="37"/>
      <c r="H125" s="37"/>
      <c r="I125" s="37"/>
    </row>
    <row r="126" spans="6:9" ht="20.100000000000001" customHeight="1" x14ac:dyDescent="0.2">
      <c r="F126" s="37"/>
      <c r="G126" s="37"/>
      <c r="H126" s="37"/>
      <c r="I126" s="37"/>
    </row>
    <row r="127" spans="6:9" ht="20.100000000000001" customHeight="1" x14ac:dyDescent="0.2">
      <c r="F127" s="37"/>
      <c r="G127" s="37"/>
      <c r="H127" s="37"/>
      <c r="I127" s="37"/>
    </row>
    <row r="128" spans="6:9" ht="20.100000000000001" customHeight="1" x14ac:dyDescent="0.2">
      <c r="F128" s="37"/>
      <c r="G128" s="37"/>
      <c r="H128" s="37"/>
      <c r="I128" s="37"/>
    </row>
    <row r="129" spans="6:9" ht="20.100000000000001" customHeight="1" x14ac:dyDescent="0.2">
      <c r="F129" s="37"/>
      <c r="G129" s="37"/>
      <c r="H129" s="37"/>
      <c r="I129" s="37"/>
    </row>
    <row r="130" spans="6:9" ht="20.100000000000001" customHeight="1" x14ac:dyDescent="0.2">
      <c r="F130" s="37"/>
      <c r="G130" s="37"/>
      <c r="H130" s="37"/>
      <c r="I130" s="37"/>
    </row>
    <row r="131" spans="6:9" ht="20.100000000000001" customHeight="1" x14ac:dyDescent="0.2">
      <c r="F131" s="37"/>
      <c r="G131" s="37"/>
      <c r="H131" s="37"/>
      <c r="I131" s="37"/>
    </row>
    <row r="132" spans="6:9" ht="20.100000000000001" customHeight="1" x14ac:dyDescent="0.2">
      <c r="F132" s="37"/>
      <c r="G132" s="37"/>
      <c r="H132" s="37"/>
      <c r="I132" s="37"/>
    </row>
    <row r="133" spans="6:9" ht="20.100000000000001" customHeight="1" x14ac:dyDescent="0.2">
      <c r="F133" s="37"/>
      <c r="G133" s="37"/>
      <c r="H133" s="37"/>
      <c r="I133" s="37"/>
    </row>
    <row r="134" spans="6:9" ht="20.100000000000001" customHeight="1" x14ac:dyDescent="0.2">
      <c r="F134" s="37"/>
      <c r="G134" s="37"/>
      <c r="H134" s="37"/>
      <c r="I134" s="37"/>
    </row>
    <row r="135" spans="6:9" ht="20.100000000000001" customHeight="1" x14ac:dyDescent="0.2">
      <c r="F135" s="37"/>
      <c r="G135" s="37"/>
      <c r="H135" s="37"/>
      <c r="I135" s="37"/>
    </row>
    <row r="136" spans="6:9" ht="20.100000000000001" customHeight="1" x14ac:dyDescent="0.2">
      <c r="F136" s="37"/>
      <c r="G136" s="37"/>
      <c r="H136" s="37"/>
      <c r="I136" s="37"/>
    </row>
    <row r="137" spans="6:9" ht="20.100000000000001" customHeight="1" x14ac:dyDescent="0.2">
      <c r="F137" s="37"/>
      <c r="G137" s="37"/>
      <c r="H137" s="37"/>
      <c r="I137" s="37"/>
    </row>
    <row r="138" spans="6:9" ht="20.100000000000001" customHeight="1" x14ac:dyDescent="0.2">
      <c r="F138" s="37"/>
      <c r="G138" s="37"/>
      <c r="H138" s="37"/>
      <c r="I138" s="37"/>
    </row>
    <row r="139" spans="6:9" ht="20.100000000000001" customHeight="1" x14ac:dyDescent="0.2">
      <c r="F139" s="37"/>
      <c r="G139" s="37"/>
      <c r="H139" s="37"/>
      <c r="I139" s="37"/>
    </row>
    <row r="140" spans="6:9" ht="20.100000000000001" customHeight="1" x14ac:dyDescent="0.2">
      <c r="F140" s="37"/>
      <c r="G140" s="37"/>
      <c r="H140" s="37"/>
      <c r="I140" s="37"/>
    </row>
    <row r="141" spans="6:9" ht="20.100000000000001" customHeight="1" x14ac:dyDescent="0.2">
      <c r="F141" s="37"/>
      <c r="G141" s="37"/>
      <c r="H141" s="37"/>
      <c r="I141" s="37"/>
    </row>
    <row r="142" spans="6:9" ht="20.100000000000001" customHeight="1" x14ac:dyDescent="0.2">
      <c r="F142" s="37"/>
      <c r="G142" s="37"/>
      <c r="H142" s="37"/>
      <c r="I142" s="37"/>
    </row>
    <row r="143" spans="6:9" ht="20.100000000000001" customHeight="1" x14ac:dyDescent="0.2">
      <c r="F143" s="37"/>
      <c r="G143" s="37"/>
      <c r="H143" s="37"/>
      <c r="I143" s="37"/>
    </row>
    <row r="144" spans="6:9" ht="20.100000000000001" customHeight="1" x14ac:dyDescent="0.2">
      <c r="F144" s="37"/>
      <c r="G144" s="37"/>
      <c r="H144" s="37"/>
      <c r="I144" s="37"/>
    </row>
    <row r="145" spans="6:9" ht="20.100000000000001" customHeight="1" x14ac:dyDescent="0.2">
      <c r="F145" s="37"/>
      <c r="G145" s="37"/>
      <c r="H145" s="37"/>
      <c r="I145" s="37"/>
    </row>
    <row r="146" spans="6:9" ht="20.100000000000001" customHeight="1" x14ac:dyDescent="0.2">
      <c r="F146" s="37"/>
      <c r="G146" s="37"/>
      <c r="H146" s="37"/>
      <c r="I146" s="37"/>
    </row>
    <row r="147" spans="6:9" ht="20.100000000000001" customHeight="1" x14ac:dyDescent="0.2">
      <c r="F147" s="37"/>
      <c r="G147" s="37"/>
      <c r="H147" s="37"/>
      <c r="I147" s="37"/>
    </row>
    <row r="148" spans="6:9" ht="20.100000000000001" customHeight="1" x14ac:dyDescent="0.2">
      <c r="F148" s="37"/>
      <c r="G148" s="37"/>
      <c r="H148" s="37"/>
      <c r="I148" s="37"/>
    </row>
    <row r="149" spans="6:9" ht="20.100000000000001" customHeight="1" x14ac:dyDescent="0.2">
      <c r="F149" s="37"/>
      <c r="G149" s="37"/>
      <c r="H149" s="37"/>
      <c r="I149" s="37"/>
    </row>
    <row r="150" spans="6:9" ht="20.100000000000001" customHeight="1" x14ac:dyDescent="0.2">
      <c r="F150" s="37"/>
      <c r="G150" s="37"/>
      <c r="H150" s="37"/>
      <c r="I150" s="37"/>
    </row>
    <row r="151" spans="6:9" ht="20.100000000000001" customHeight="1" x14ac:dyDescent="0.2">
      <c r="F151" s="37"/>
      <c r="G151" s="37"/>
      <c r="H151" s="37"/>
      <c r="I151" s="37"/>
    </row>
    <row r="152" spans="6:9" ht="20.100000000000001" customHeight="1" x14ac:dyDescent="0.2">
      <c r="F152" s="37"/>
      <c r="G152" s="37"/>
      <c r="H152" s="37"/>
      <c r="I152" s="37"/>
    </row>
    <row r="153" spans="6:9" ht="20.100000000000001" customHeight="1" x14ac:dyDescent="0.2">
      <c r="F153" s="37"/>
      <c r="G153" s="37"/>
      <c r="H153" s="37"/>
      <c r="I153" s="37"/>
    </row>
    <row r="154" spans="6:9" ht="20.100000000000001" customHeight="1" x14ac:dyDescent="0.2">
      <c r="F154" s="39"/>
      <c r="G154" s="39"/>
      <c r="H154" s="39"/>
      <c r="I154" s="39"/>
    </row>
    <row r="155" spans="6:9" ht="20.100000000000001" customHeight="1" x14ac:dyDescent="0.2">
      <c r="F155" s="39"/>
      <c r="G155" s="39"/>
      <c r="H155" s="39"/>
      <c r="I155" s="39"/>
    </row>
    <row r="156" spans="6:9" ht="20.100000000000001" customHeight="1" x14ac:dyDescent="0.2">
      <c r="F156" s="39"/>
      <c r="G156" s="39"/>
      <c r="H156" s="39"/>
      <c r="I156" s="39"/>
    </row>
    <row r="157" spans="6:9" ht="20.100000000000001" customHeight="1" x14ac:dyDescent="0.2">
      <c r="F157" s="39"/>
      <c r="G157" s="39"/>
      <c r="H157" s="39"/>
      <c r="I157" s="39"/>
    </row>
    <row r="158" spans="6:9" ht="20.100000000000001" customHeight="1" x14ac:dyDescent="0.2">
      <c r="F158" s="39"/>
      <c r="G158" s="39"/>
      <c r="H158" s="39"/>
      <c r="I158" s="39"/>
    </row>
    <row r="159" spans="6:9" ht="20.100000000000001" customHeight="1" x14ac:dyDescent="0.2">
      <c r="F159" s="39"/>
      <c r="G159" s="39"/>
      <c r="H159" s="39"/>
      <c r="I159" s="39"/>
    </row>
    <row r="160" spans="6:9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</sheetData>
  <pageMargins left="0" right="0" top="0.15748031496062992" bottom="0.15748031496062992" header="0.11811023622047245" footer="0.11811023622047245"/>
  <pageSetup scale="84" orientation="portrait" r:id="rId1"/>
  <rowBreaks count="1" manualBreakCount="1">
    <brk id="43" max="8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FFB4-0206-47ED-A053-5B9A9FBC3A01}">
  <dimension ref="A1:L380"/>
  <sheetViews>
    <sheetView workbookViewId="0">
      <selection activeCell="D1" sqref="D1"/>
    </sheetView>
  </sheetViews>
  <sheetFormatPr defaultRowHeight="15" x14ac:dyDescent="0.2"/>
  <cols>
    <col min="1" max="1" width="9.140625" style="31"/>
    <col min="2" max="2" width="45" style="31" customWidth="1"/>
    <col min="3" max="3" width="9.7109375" style="31" customWidth="1"/>
    <col min="4" max="4" width="15.7109375" style="31" customWidth="1"/>
    <col min="5" max="5" width="16.5703125" style="31" customWidth="1"/>
    <col min="6" max="6" width="0.140625" style="31" hidden="1" customWidth="1"/>
    <col min="7" max="7" width="15.7109375" style="31" hidden="1" customWidth="1"/>
    <col min="8" max="9" width="15.7109375" style="31" customWidth="1"/>
    <col min="10" max="16384" width="9.140625" style="31"/>
  </cols>
  <sheetData>
    <row r="1" spans="1:12" ht="18" x14ac:dyDescent="0.25">
      <c r="A1" s="53" t="s">
        <v>1803</v>
      </c>
      <c r="B1" s="54"/>
      <c r="C1" s="54"/>
      <c r="D1" s="54"/>
      <c r="E1" s="54"/>
      <c r="F1" s="54"/>
      <c r="G1" s="54"/>
      <c r="H1" s="54"/>
      <c r="I1" s="54"/>
    </row>
    <row r="2" spans="1:12" ht="18" x14ac:dyDescent="0.25">
      <c r="A2" s="53" t="s">
        <v>1917</v>
      </c>
      <c r="B2" s="54"/>
      <c r="C2" s="54"/>
      <c r="D2" s="54"/>
      <c r="E2" s="54"/>
      <c r="F2" s="54"/>
      <c r="G2" s="54"/>
      <c r="H2" s="54"/>
      <c r="I2" s="54"/>
    </row>
    <row r="3" spans="1:12" ht="18" x14ac:dyDescent="0.25">
      <c r="A3" s="53" t="s">
        <v>2081</v>
      </c>
      <c r="B3" s="54"/>
      <c r="C3" s="54"/>
      <c r="D3" s="54"/>
      <c r="E3" s="54"/>
      <c r="F3" s="54"/>
      <c r="G3" s="54"/>
      <c r="H3" s="54"/>
      <c r="I3" s="54"/>
    </row>
    <row r="5" spans="1:12" ht="15.75" thickBot="1" x14ac:dyDescent="0.25"/>
    <row r="6" spans="1:12" ht="30" customHeight="1" thickTop="1" thickBot="1" x14ac:dyDescent="0.3">
      <c r="A6" s="50"/>
      <c r="B6" s="50"/>
      <c r="C6" s="51" t="s">
        <v>1144</v>
      </c>
      <c r="D6" s="85" t="s">
        <v>2080</v>
      </c>
      <c r="E6" s="85" t="s">
        <v>2079</v>
      </c>
      <c r="F6" s="85" t="s">
        <v>2078</v>
      </c>
      <c r="G6" s="85" t="s">
        <v>2041</v>
      </c>
      <c r="H6" s="85" t="s">
        <v>2042</v>
      </c>
      <c r="I6" s="85" t="s">
        <v>2040</v>
      </c>
    </row>
    <row r="7" spans="1:12" ht="20.100000000000001" customHeight="1" thickTop="1" x14ac:dyDescent="0.2">
      <c r="G7" s="64" t="s">
        <v>2077</v>
      </c>
      <c r="H7" s="82"/>
    </row>
    <row r="8" spans="1:12" ht="20.100000000000001" customHeight="1" x14ac:dyDescent="0.25">
      <c r="A8" s="32" t="s">
        <v>1805</v>
      </c>
      <c r="B8" s="32"/>
      <c r="C8" s="32"/>
      <c r="D8" s="32"/>
      <c r="E8" s="32"/>
      <c r="F8" s="33"/>
      <c r="G8" s="33"/>
      <c r="H8" s="33"/>
      <c r="I8" s="33"/>
    </row>
    <row r="9" spans="1:12" ht="20.100000000000001" customHeight="1" x14ac:dyDescent="0.2">
      <c r="B9" s="31" t="s">
        <v>1806</v>
      </c>
      <c r="C9" s="36" t="s">
        <v>1922</v>
      </c>
      <c r="D9" s="37">
        <f>-ROUND(VLOOKUP($C9,Database!$B$8:$P$994,2,0),0)</f>
        <v>731340</v>
      </c>
      <c r="E9" s="94">
        <f>F9+G9</f>
        <v>712597</v>
      </c>
      <c r="F9" s="37">
        <f>-ROUND(VLOOKUP($C9,Database!$B$8:$P$994,3,0),0)</f>
        <v>76995</v>
      </c>
      <c r="G9" s="37">
        <f>-ROUND(VLOOKUP($C9,Database!$B$8:$P$994,6,0),0)</f>
        <v>635602</v>
      </c>
      <c r="H9" s="37">
        <f>557352+129000</f>
        <v>686352</v>
      </c>
      <c r="I9" s="37">
        <v>673572</v>
      </c>
      <c r="K9" s="31">
        <f>D9/H9</f>
        <v>1.065546541716204</v>
      </c>
      <c r="L9" s="60">
        <f>D9-H9</f>
        <v>44988</v>
      </c>
    </row>
    <row r="10" spans="1:12" ht="20.100000000000001" customHeight="1" x14ac:dyDescent="0.2">
      <c r="B10" s="31" t="s">
        <v>1807</v>
      </c>
      <c r="C10" s="36" t="s">
        <v>1923</v>
      </c>
      <c r="D10" s="37">
        <f>-ROUND(VLOOKUP($C10,Database!$B$8:$P$994,2,0),0)</f>
        <v>78013</v>
      </c>
      <c r="E10" s="94">
        <f t="shared" ref="E10:E17" si="0">F10+G10</f>
        <v>78014</v>
      </c>
      <c r="F10" s="37">
        <f>-ROUND(VLOOKUP($C10,Database!$B$8:$P$994,3,0),0)</f>
        <v>6502</v>
      </c>
      <c r="G10" s="37">
        <f>-ROUND(VLOOKUP($C10,Database!$B$8:$P$994,6,0),0)</f>
        <v>71512</v>
      </c>
      <c r="H10" s="37">
        <v>78013</v>
      </c>
      <c r="I10" s="37">
        <v>73596</v>
      </c>
    </row>
    <row r="11" spans="1:12" ht="20.100000000000001" customHeight="1" x14ac:dyDescent="0.2">
      <c r="B11" s="31" t="s">
        <v>1918</v>
      </c>
      <c r="C11" s="36" t="s">
        <v>1927</v>
      </c>
      <c r="D11" s="37">
        <f>-ROUND(VLOOKUP($C11,Database!$B$8:$P$994,2,0),0)</f>
        <v>65000</v>
      </c>
      <c r="E11" s="94">
        <f t="shared" si="0"/>
        <v>64352</v>
      </c>
      <c r="F11" s="37">
        <f>-ROUND(VLOOKUP($C11,Database!$B$8:$P$994,3,0),0)</f>
        <v>14807</v>
      </c>
      <c r="G11" s="37">
        <f>-ROUND(VLOOKUP($C11,Database!$B$8:$P$994,6,0),0)</f>
        <v>49545</v>
      </c>
      <c r="H11" s="37">
        <f>35000+23500</f>
        <v>58500</v>
      </c>
      <c r="I11" s="37">
        <v>62238</v>
      </c>
    </row>
    <row r="12" spans="1:12" ht="20.100000000000001" customHeight="1" x14ac:dyDescent="0.2">
      <c r="B12" s="31" t="s">
        <v>1919</v>
      </c>
      <c r="C12" s="36" t="s">
        <v>1925</v>
      </c>
      <c r="D12" s="37">
        <f>-ROUND(VLOOKUP($C12,Database!$B$8:$P$994,2,0),0)</f>
        <v>28621</v>
      </c>
      <c r="E12" s="94">
        <f t="shared" si="0"/>
        <v>40207</v>
      </c>
      <c r="F12" s="37">
        <f>-ROUND(VLOOKUP($C12,Database!$B$8:$P$994,3,0),0)</f>
        <v>0</v>
      </c>
      <c r="G12" s="37">
        <f>-ROUND(VLOOKUP($C12,Database!$B$8:$P$994,6,0),0)</f>
        <v>40207</v>
      </c>
      <c r="H12" s="37">
        <f>10000+1000</f>
        <v>11000</v>
      </c>
      <c r="I12" s="37">
        <v>37153</v>
      </c>
    </row>
    <row r="13" spans="1:12" ht="20.100000000000001" customHeight="1" x14ac:dyDescent="0.2">
      <c r="B13" s="31" t="s">
        <v>1920</v>
      </c>
      <c r="C13" s="36" t="s">
        <v>1924</v>
      </c>
      <c r="D13" s="37">
        <f>-ROUND(VLOOKUP($C13,Database!$B$8:$P$994,2,0),0)</f>
        <v>5000</v>
      </c>
      <c r="E13" s="94">
        <f t="shared" si="0"/>
        <v>5000</v>
      </c>
      <c r="F13" s="37">
        <f>-ROUND(VLOOKUP($C13,Database!$B$8:$P$994,3,0),0)</f>
        <v>0</v>
      </c>
      <c r="G13" s="37">
        <f>-ROUND(VLOOKUP($C13,Database!$B$8:$P$994,6,0),0)</f>
        <v>5000</v>
      </c>
      <c r="H13" s="37">
        <v>5000</v>
      </c>
      <c r="I13" s="37">
        <v>5000</v>
      </c>
    </row>
    <row r="14" spans="1:12" ht="20.100000000000001" customHeight="1" x14ac:dyDescent="0.2">
      <c r="B14" s="31" t="s">
        <v>1119</v>
      </c>
      <c r="C14" s="36" t="s">
        <v>1930</v>
      </c>
      <c r="D14" s="37">
        <f>-ROUND(VLOOKUP($C14,Database!$B$8:$P$994,2,0),0)</f>
        <v>14500</v>
      </c>
      <c r="E14" s="94">
        <f t="shared" si="0"/>
        <v>12961</v>
      </c>
      <c r="F14" s="37">
        <f>-ROUND(VLOOKUP($C14,Database!$B$8:$P$994,3,0),0)</f>
        <v>0</v>
      </c>
      <c r="G14" s="37">
        <f>-ROUND(VLOOKUP($C14,Database!$B$8:$P$994,6,0),0)</f>
        <v>12961</v>
      </c>
      <c r="H14" s="37">
        <f>500+7500+10000</f>
        <v>18000</v>
      </c>
      <c r="I14" s="37">
        <v>16737</v>
      </c>
    </row>
    <row r="15" spans="1:12" ht="20.100000000000001" customHeight="1" x14ac:dyDescent="0.2">
      <c r="B15" s="31" t="s">
        <v>573</v>
      </c>
      <c r="C15" s="36" t="s">
        <v>1926</v>
      </c>
      <c r="D15" s="37">
        <f>-ROUND(VLOOKUP($C15,Database!$B$8:$P$994,2,0),0)</f>
        <v>15500</v>
      </c>
      <c r="E15" s="94">
        <f t="shared" si="0"/>
        <v>34874</v>
      </c>
      <c r="F15" s="37">
        <f>-ROUND(VLOOKUP($C15,Database!$B$8:$P$994,3,0),0)</f>
        <v>8500</v>
      </c>
      <c r="G15" s="37">
        <f>-ROUND(VLOOKUP($C15,Database!$B$8:$P$994,6,0),0)</f>
        <v>26374</v>
      </c>
      <c r="H15" s="37">
        <f>5000+1000</f>
        <v>6000</v>
      </c>
      <c r="I15" s="37">
        <v>20899</v>
      </c>
    </row>
    <row r="16" spans="1:12" ht="20.100000000000001" customHeight="1" x14ac:dyDescent="0.2">
      <c r="B16" s="31" t="s">
        <v>1921</v>
      </c>
      <c r="C16" s="36" t="s">
        <v>1928</v>
      </c>
      <c r="D16" s="37">
        <f>-ROUND(VLOOKUP($C16,Database!$B$8:$P$994,2,0),0)</f>
        <v>6000</v>
      </c>
      <c r="E16" s="94">
        <f t="shared" si="0"/>
        <v>6046</v>
      </c>
      <c r="F16" s="37">
        <f>-ROUND(VLOOKUP($C16,Database!$B$8:$P$994,3,0),0)</f>
        <v>400</v>
      </c>
      <c r="G16" s="37">
        <f>-ROUND(VLOOKUP($C16,Database!$B$8:$P$994,6,0),0)</f>
        <v>5646</v>
      </c>
      <c r="H16" s="37">
        <f>5000</f>
        <v>5000</v>
      </c>
      <c r="I16" s="37">
        <v>5165</v>
      </c>
    </row>
    <row r="17" spans="1:9" ht="20.100000000000001" customHeight="1" x14ac:dyDescent="0.2">
      <c r="B17" s="31" t="s">
        <v>1811</v>
      </c>
      <c r="C17" s="36" t="s">
        <v>1929</v>
      </c>
      <c r="D17" s="37">
        <f>-ROUND(VLOOKUP($C17,Database!$B$8:$P$994,2,0),0)</f>
        <v>3500</v>
      </c>
      <c r="E17" s="94">
        <f t="shared" si="0"/>
        <v>3350</v>
      </c>
      <c r="F17" s="37">
        <f>-ROUND(VLOOKUP($C17,Database!$B$8:$P$994,3,0),0)</f>
        <v>300</v>
      </c>
      <c r="G17" s="37">
        <f>-ROUND(VLOOKUP($C17,Database!$B$8:$P$994,6,0),0)</f>
        <v>3050</v>
      </c>
      <c r="H17" s="37">
        <v>3000</v>
      </c>
      <c r="I17" s="37">
        <v>3256</v>
      </c>
    </row>
    <row r="18" spans="1:9" ht="20.100000000000001" customHeight="1" x14ac:dyDescent="0.2">
      <c r="C18" s="36"/>
      <c r="D18" s="36"/>
      <c r="E18" s="36"/>
      <c r="F18" s="37"/>
      <c r="G18" s="37"/>
      <c r="H18" s="37"/>
      <c r="I18" s="37"/>
    </row>
    <row r="19" spans="1:9" ht="30" customHeight="1" x14ac:dyDescent="0.25">
      <c r="D19" s="52">
        <f t="shared" ref="D19:E19" si="1">SUM(D9:D18)</f>
        <v>947474</v>
      </c>
      <c r="E19" s="52">
        <f t="shared" si="1"/>
        <v>957401</v>
      </c>
      <c r="F19" s="52">
        <f>SUM(F9:F18)</f>
        <v>107504</v>
      </c>
      <c r="G19" s="52">
        <f t="shared" ref="G19:I19" si="2">SUM(G9:G18)</f>
        <v>849897</v>
      </c>
      <c r="H19" s="52">
        <f>SUM(H9:H18)</f>
        <v>870865</v>
      </c>
      <c r="I19" s="52">
        <f t="shared" si="2"/>
        <v>897616</v>
      </c>
    </row>
    <row r="20" spans="1:9" ht="20.100000000000001" customHeight="1" x14ac:dyDescent="0.2">
      <c r="F20" s="37"/>
      <c r="G20" s="37"/>
      <c r="H20" s="37"/>
      <c r="I20" s="37"/>
    </row>
    <row r="21" spans="1:9" ht="20.100000000000001" customHeight="1" x14ac:dyDescent="0.25">
      <c r="A21" s="32" t="s">
        <v>1814</v>
      </c>
      <c r="B21" s="32"/>
      <c r="F21" s="37"/>
      <c r="G21" s="37"/>
      <c r="H21" s="37"/>
      <c r="I21" s="37"/>
    </row>
    <row r="22" spans="1:9" ht="20.100000000000001" customHeight="1" x14ac:dyDescent="0.25">
      <c r="B22" s="32" t="s">
        <v>1815</v>
      </c>
      <c r="C22" s="36"/>
      <c r="D22" s="38">
        <f>SUM(D23:D26)</f>
        <v>126100</v>
      </c>
      <c r="E22" s="38">
        <f t="shared" ref="E22" si="3">SUM(E23:E26)</f>
        <v>131409</v>
      </c>
      <c r="F22" s="38">
        <f>SUM(F23:F26)</f>
        <v>18702</v>
      </c>
      <c r="G22" s="38">
        <f>SUM(G23:G26)</f>
        <v>112707</v>
      </c>
      <c r="H22" s="38">
        <f>SUM(H23:H26)</f>
        <v>15000</v>
      </c>
      <c r="I22" s="38">
        <f>SUM(I23:I26)</f>
        <v>57636</v>
      </c>
    </row>
    <row r="23" spans="1:9" ht="20.100000000000001" customHeight="1" x14ac:dyDescent="0.2">
      <c r="B23" s="31" t="s">
        <v>1932</v>
      </c>
      <c r="C23" s="36" t="s">
        <v>730</v>
      </c>
      <c r="D23" s="37">
        <f>-ROUND(VLOOKUP($C23,Database!$B$8:$P$994,2,0),0)</f>
        <v>108500</v>
      </c>
      <c r="E23" s="94">
        <f t="shared" ref="E23:E28" si="4">F23+G23</f>
        <v>105068</v>
      </c>
      <c r="F23" s="37">
        <f>-ROUND(VLOOKUP($C23,Database!$B$8:$P$994,3,0),0)</f>
        <v>0</v>
      </c>
      <c r="G23" s="37">
        <f>-ROUND(VLOOKUP($C23,Database!$B$8:$P$994,6,0),0)</f>
        <v>105068</v>
      </c>
      <c r="H23" s="37"/>
      <c r="I23" s="37">
        <v>14795</v>
      </c>
    </row>
    <row r="24" spans="1:9" ht="20.100000000000001" customHeight="1" x14ac:dyDescent="0.2">
      <c r="B24" s="31" t="s">
        <v>1933</v>
      </c>
      <c r="C24" s="36" t="s">
        <v>734</v>
      </c>
      <c r="D24" s="37">
        <f>-ROUND(VLOOKUP($C24,Database!$B$8:$P$994,2,0),0)</f>
        <v>17600</v>
      </c>
      <c r="E24" s="94">
        <f t="shared" si="4"/>
        <v>17906</v>
      </c>
      <c r="F24" s="37">
        <f>-ROUND(VLOOKUP($C24,Database!$B$8:$P$994,3,0),0)</f>
        <v>18702</v>
      </c>
      <c r="G24" s="37">
        <f>-ROUND(VLOOKUP($C24,Database!$B$8:$P$994,6,0),0)</f>
        <v>-796</v>
      </c>
      <c r="H24" s="37">
        <v>15000</v>
      </c>
      <c r="I24" s="37">
        <v>9969</v>
      </c>
    </row>
    <row r="25" spans="1:9" ht="20.100000000000001" customHeight="1" x14ac:dyDescent="0.2">
      <c r="B25" s="31" t="s">
        <v>1934</v>
      </c>
      <c r="C25" s="36" t="s">
        <v>769</v>
      </c>
      <c r="D25" s="37">
        <f>-ROUND(VLOOKUP($C25,Database!$B$8:$P$994,2,0),0)</f>
        <v>0</v>
      </c>
      <c r="E25" s="94">
        <f t="shared" si="4"/>
        <v>8435</v>
      </c>
      <c r="F25" s="37">
        <f>-ROUND(VLOOKUP($C25,Database!$B$8:$P$994,3,0),0)</f>
        <v>0</v>
      </c>
      <c r="G25" s="37">
        <f>-ROUND(VLOOKUP($C25,Database!$B$8:$P$994,6,0),0)</f>
        <v>8435</v>
      </c>
      <c r="H25" s="37"/>
      <c r="I25" s="37">
        <v>31072</v>
      </c>
    </row>
    <row r="26" spans="1:9" ht="20.100000000000001" customHeight="1" x14ac:dyDescent="0.2">
      <c r="B26" s="31" t="s">
        <v>2160</v>
      </c>
      <c r="C26" s="97"/>
      <c r="D26" s="37">
        <v>0</v>
      </c>
      <c r="E26" s="94">
        <f t="shared" si="4"/>
        <v>0</v>
      </c>
      <c r="F26" s="37">
        <v>0</v>
      </c>
      <c r="G26" s="37">
        <v>0</v>
      </c>
      <c r="H26" s="37"/>
      <c r="I26" s="37">
        <v>1800</v>
      </c>
    </row>
    <row r="27" spans="1:9" ht="20.100000000000001" customHeight="1" x14ac:dyDescent="0.2">
      <c r="B27" s="31" t="s">
        <v>1931</v>
      </c>
      <c r="C27" s="36" t="s">
        <v>1935</v>
      </c>
      <c r="D27" s="37">
        <f>-ROUND(VLOOKUP($C27,Database!$B$8:$P$994,2,0),0)</f>
        <v>0</v>
      </c>
      <c r="E27" s="94">
        <f t="shared" si="4"/>
        <v>0</v>
      </c>
      <c r="F27" s="37">
        <f>-ROUND(VLOOKUP($C27,Database!$B$8:$P$994,3,0),0)</f>
        <v>0</v>
      </c>
      <c r="G27" s="37">
        <f>-ROUND(VLOOKUP($C27,Database!$B$8:$P$994,6,0),0)</f>
        <v>0</v>
      </c>
      <c r="H27" s="37"/>
      <c r="I27" s="37">
        <v>27750</v>
      </c>
    </row>
    <row r="28" spans="1:9" ht="20.100000000000001" customHeight="1" x14ac:dyDescent="0.2">
      <c r="B28" s="31" t="s">
        <v>772</v>
      </c>
      <c r="C28" s="36" t="s">
        <v>1936</v>
      </c>
      <c r="D28" s="37">
        <f>-ROUND(VLOOKUP($C28,Database!$B$8:$P$994,2,0),0)</f>
        <v>0</v>
      </c>
      <c r="E28" s="94">
        <f t="shared" si="4"/>
        <v>0</v>
      </c>
      <c r="F28" s="37">
        <f>-ROUND(VLOOKUP($C28,Database!$B$8:$P$994,3,0),0)</f>
        <v>0</v>
      </c>
      <c r="G28" s="37">
        <f>-ROUND(VLOOKUP($C28,Database!$B$8:$P$994,6,0),0)</f>
        <v>0</v>
      </c>
      <c r="H28" s="37"/>
      <c r="I28" s="37">
        <v>12195</v>
      </c>
    </row>
    <row r="29" spans="1:9" ht="30" customHeight="1" x14ac:dyDescent="0.25">
      <c r="C29" s="36"/>
      <c r="D29" s="52">
        <f t="shared" ref="D29:E29" si="5">D22+D27+D28</f>
        <v>126100</v>
      </c>
      <c r="E29" s="52">
        <f t="shared" si="5"/>
        <v>131409</v>
      </c>
      <c r="F29" s="52">
        <f>F22+F27+F28</f>
        <v>18702</v>
      </c>
      <c r="G29" s="52">
        <f>G22+G27+G28</f>
        <v>112707</v>
      </c>
      <c r="H29" s="52">
        <f>H22+H27+H28</f>
        <v>15000</v>
      </c>
      <c r="I29" s="52">
        <f>I22+I27+I28</f>
        <v>97581</v>
      </c>
    </row>
    <row r="30" spans="1:9" ht="20.100000000000001" customHeight="1" x14ac:dyDescent="0.2">
      <c r="C30" s="36"/>
      <c r="D30" s="36"/>
      <c r="E30" s="36"/>
      <c r="F30" s="37"/>
      <c r="G30" s="37"/>
      <c r="H30" s="37"/>
      <c r="I30" s="37"/>
    </row>
    <row r="31" spans="1:9" ht="20.100000000000001" customHeight="1" x14ac:dyDescent="0.2">
      <c r="C31" s="36"/>
      <c r="D31" s="36"/>
      <c r="E31" s="36"/>
      <c r="F31" s="37"/>
      <c r="G31" s="37"/>
      <c r="H31" s="37"/>
      <c r="I31" s="37"/>
    </row>
    <row r="32" spans="1:9" ht="20.100000000000001" customHeight="1" x14ac:dyDescent="0.2">
      <c r="C32" s="36"/>
      <c r="D32" s="36"/>
      <c r="E32" s="36"/>
      <c r="F32" s="37"/>
      <c r="G32" s="37"/>
      <c r="H32" s="37"/>
      <c r="I32" s="37"/>
    </row>
    <row r="33" spans="1:9" ht="20.100000000000001" customHeight="1" x14ac:dyDescent="0.25">
      <c r="A33" s="32"/>
      <c r="C33" s="36"/>
      <c r="D33" s="36"/>
      <c r="E33" s="36"/>
      <c r="F33" s="37"/>
      <c r="G33" s="37"/>
      <c r="H33" s="37"/>
      <c r="I33" s="37"/>
    </row>
    <row r="34" spans="1:9" ht="20.100000000000001" customHeight="1" x14ac:dyDescent="0.2">
      <c r="C34" s="36"/>
      <c r="D34" s="36"/>
      <c r="E34" s="36"/>
      <c r="F34" s="37"/>
      <c r="G34" s="37"/>
      <c r="H34" s="37"/>
      <c r="I34" s="37"/>
    </row>
    <row r="35" spans="1:9" ht="20.100000000000001" customHeight="1" x14ac:dyDescent="0.25">
      <c r="A35" s="32"/>
      <c r="C35" s="36"/>
      <c r="D35" s="36"/>
      <c r="E35" s="36"/>
      <c r="F35" s="37"/>
      <c r="G35" s="37"/>
      <c r="H35" s="37"/>
      <c r="I35" s="37"/>
    </row>
    <row r="36" spans="1:9" ht="20.100000000000001" customHeight="1" x14ac:dyDescent="0.2">
      <c r="C36" s="36"/>
      <c r="D36" s="36"/>
      <c r="E36" s="36"/>
      <c r="F36" s="37"/>
      <c r="G36" s="37"/>
      <c r="H36" s="37"/>
      <c r="I36" s="37"/>
    </row>
    <row r="37" spans="1:9" ht="20.100000000000001" customHeight="1" x14ac:dyDescent="0.2">
      <c r="C37" s="36"/>
      <c r="D37" s="36"/>
      <c r="E37" s="36"/>
      <c r="F37" s="37"/>
      <c r="G37" s="37"/>
      <c r="H37" s="37"/>
      <c r="I37" s="37"/>
    </row>
    <row r="38" spans="1:9" ht="20.100000000000001" customHeight="1" x14ac:dyDescent="0.2">
      <c r="C38" s="36"/>
      <c r="D38" s="36"/>
      <c r="E38" s="36"/>
      <c r="F38" s="37"/>
      <c r="G38" s="37"/>
      <c r="H38" s="37"/>
      <c r="I38" s="37"/>
    </row>
    <row r="39" spans="1:9" ht="20.100000000000001" customHeight="1" x14ac:dyDescent="0.2">
      <c r="C39" s="36"/>
      <c r="D39" s="36"/>
      <c r="E39" s="36"/>
      <c r="F39" s="37"/>
      <c r="G39" s="37"/>
      <c r="H39" s="37"/>
      <c r="I39" s="37"/>
    </row>
    <row r="40" spans="1:9" ht="20.100000000000001" customHeight="1" x14ac:dyDescent="0.2">
      <c r="C40" s="36"/>
      <c r="D40" s="36"/>
      <c r="E40" s="36"/>
      <c r="F40" s="37"/>
      <c r="G40" s="37"/>
      <c r="H40" s="37"/>
      <c r="I40" s="37"/>
    </row>
    <row r="41" spans="1:9" ht="20.100000000000001" customHeight="1" x14ac:dyDescent="0.25">
      <c r="A41" s="32"/>
      <c r="C41" s="36"/>
      <c r="D41" s="36"/>
      <c r="E41" s="36"/>
      <c r="F41" s="37"/>
      <c r="G41" s="37"/>
      <c r="H41" s="37"/>
      <c r="I41" s="37"/>
    </row>
    <row r="42" spans="1:9" ht="20.100000000000001" customHeight="1" x14ac:dyDescent="0.2">
      <c r="C42" s="36"/>
      <c r="D42" s="36"/>
      <c r="E42" s="36"/>
      <c r="F42" s="37"/>
      <c r="G42" s="37"/>
      <c r="H42" s="37"/>
      <c r="I42" s="37"/>
    </row>
    <row r="43" spans="1:9" ht="20.100000000000001" customHeight="1" x14ac:dyDescent="0.2">
      <c r="C43" s="36"/>
      <c r="D43" s="36"/>
      <c r="E43" s="36"/>
      <c r="F43" s="37"/>
      <c r="G43" s="37"/>
      <c r="H43" s="37"/>
      <c r="I43" s="37"/>
    </row>
    <row r="44" spans="1:9" ht="20.100000000000001" customHeight="1" x14ac:dyDescent="0.25">
      <c r="F44" s="37"/>
      <c r="G44" s="38"/>
      <c r="H44" s="38"/>
      <c r="I44" s="37"/>
    </row>
    <row r="45" spans="1:9" ht="20.100000000000001" customHeight="1" x14ac:dyDescent="0.2">
      <c r="F45" s="37"/>
      <c r="G45" s="37"/>
      <c r="H45" s="37"/>
      <c r="I45" s="37"/>
    </row>
    <row r="46" spans="1:9" ht="20.100000000000001" customHeight="1" x14ac:dyDescent="0.25">
      <c r="B46" s="32"/>
      <c r="F46" s="37"/>
      <c r="G46" s="37"/>
      <c r="H46" s="37"/>
      <c r="I46" s="37"/>
    </row>
    <row r="47" spans="1:9" ht="20.100000000000001" customHeight="1" x14ac:dyDescent="0.2">
      <c r="C47" s="36"/>
      <c r="D47" s="36"/>
      <c r="E47" s="36"/>
      <c r="F47" s="37"/>
      <c r="G47" s="37"/>
      <c r="H47" s="37"/>
      <c r="I47" s="37"/>
    </row>
    <row r="48" spans="1:9" ht="20.100000000000001" customHeight="1" x14ac:dyDescent="0.2">
      <c r="C48" s="36"/>
      <c r="D48" s="36"/>
      <c r="E48" s="36"/>
      <c r="F48" s="37"/>
      <c r="G48" s="37"/>
      <c r="H48" s="37"/>
      <c r="I48" s="37"/>
    </row>
    <row r="49" spans="2:9" ht="20.100000000000001" customHeight="1" x14ac:dyDescent="0.2">
      <c r="C49" s="36"/>
      <c r="D49" s="36"/>
      <c r="E49" s="36"/>
      <c r="F49" s="37"/>
      <c r="G49" s="37"/>
      <c r="H49" s="37"/>
      <c r="I49" s="37"/>
    </row>
    <row r="50" spans="2:9" ht="20.100000000000001" customHeight="1" x14ac:dyDescent="0.2">
      <c r="C50" s="36"/>
      <c r="D50" s="36"/>
      <c r="E50" s="36"/>
      <c r="F50" s="37"/>
      <c r="G50" s="37"/>
      <c r="H50" s="37"/>
      <c r="I50" s="37"/>
    </row>
    <row r="51" spans="2:9" ht="20.100000000000001" customHeight="1" x14ac:dyDescent="0.2">
      <c r="C51" s="36"/>
      <c r="D51" s="36"/>
      <c r="E51" s="36"/>
      <c r="F51" s="37"/>
      <c r="G51" s="37"/>
      <c r="H51" s="37"/>
      <c r="I51" s="37"/>
    </row>
    <row r="52" spans="2:9" ht="20.100000000000001" customHeight="1" x14ac:dyDescent="0.2">
      <c r="C52" s="36"/>
      <c r="D52" s="36"/>
      <c r="E52" s="36"/>
      <c r="F52" s="37"/>
      <c r="G52" s="37"/>
      <c r="H52" s="37"/>
      <c r="I52" s="37"/>
    </row>
    <row r="53" spans="2:9" ht="39.75" customHeight="1" x14ac:dyDescent="0.2">
      <c r="B53" s="40"/>
      <c r="C53" s="36"/>
      <c r="D53" s="36"/>
      <c r="E53" s="36"/>
      <c r="F53" s="37"/>
      <c r="G53" s="37"/>
      <c r="H53" s="37"/>
      <c r="I53" s="37"/>
    </row>
    <row r="54" spans="2:9" ht="20.100000000000001" customHeight="1" x14ac:dyDescent="0.25">
      <c r="F54" s="37"/>
      <c r="G54" s="38"/>
      <c r="H54" s="38"/>
      <c r="I54" s="37"/>
    </row>
    <row r="55" spans="2:9" ht="20.100000000000001" customHeight="1" x14ac:dyDescent="0.2">
      <c r="F55" s="37"/>
      <c r="G55" s="37"/>
      <c r="H55" s="37"/>
      <c r="I55" s="37"/>
    </row>
    <row r="56" spans="2:9" ht="20.100000000000001" customHeight="1" x14ac:dyDescent="0.25">
      <c r="B56" s="32"/>
      <c r="F56" s="37"/>
      <c r="G56" s="37"/>
      <c r="H56" s="37"/>
      <c r="I56" s="37"/>
    </row>
    <row r="57" spans="2:9" ht="20.100000000000001" customHeight="1" x14ac:dyDescent="0.2">
      <c r="C57" s="36"/>
      <c r="D57" s="36"/>
      <c r="E57" s="36"/>
      <c r="F57" s="37"/>
      <c r="G57" s="37"/>
      <c r="H57" s="37"/>
      <c r="I57" s="37"/>
    </row>
    <row r="58" spans="2:9" ht="20.100000000000001" customHeight="1" x14ac:dyDescent="0.2">
      <c r="C58" s="36"/>
      <c r="D58" s="36"/>
      <c r="E58" s="36"/>
      <c r="F58" s="37"/>
      <c r="G58" s="37"/>
      <c r="H58" s="37"/>
      <c r="I58" s="37"/>
    </row>
    <row r="59" spans="2:9" ht="20.100000000000001" customHeight="1" x14ac:dyDescent="0.2">
      <c r="C59" s="36"/>
      <c r="D59" s="36"/>
      <c r="E59" s="36"/>
      <c r="F59" s="37"/>
      <c r="G59" s="37"/>
      <c r="H59" s="37"/>
      <c r="I59" s="37"/>
    </row>
    <row r="60" spans="2:9" ht="20.100000000000001" customHeight="1" x14ac:dyDescent="0.2">
      <c r="C60" s="36"/>
      <c r="D60" s="36"/>
      <c r="E60" s="36"/>
      <c r="F60" s="37"/>
      <c r="G60" s="37"/>
      <c r="H60" s="37"/>
      <c r="I60" s="37"/>
    </row>
    <row r="61" spans="2:9" ht="20.100000000000001" customHeight="1" x14ac:dyDescent="0.2">
      <c r="C61" s="36"/>
      <c r="D61" s="36"/>
      <c r="E61" s="36"/>
      <c r="F61" s="37"/>
      <c r="G61" s="37"/>
      <c r="H61" s="37"/>
      <c r="I61" s="37"/>
    </row>
    <row r="62" spans="2:9" ht="20.100000000000001" customHeight="1" x14ac:dyDescent="0.2">
      <c r="C62" s="36"/>
      <c r="D62" s="36"/>
      <c r="E62" s="36"/>
      <c r="F62" s="37"/>
      <c r="G62" s="37"/>
      <c r="H62" s="37"/>
      <c r="I62" s="37"/>
    </row>
    <row r="63" spans="2:9" ht="20.100000000000001" customHeight="1" x14ac:dyDescent="0.2">
      <c r="F63" s="37"/>
      <c r="G63" s="37"/>
      <c r="H63" s="37"/>
      <c r="I63" s="37"/>
    </row>
    <row r="64" spans="2:9" ht="20.100000000000001" customHeight="1" x14ac:dyDescent="0.25">
      <c r="F64" s="37"/>
      <c r="G64" s="38"/>
      <c r="H64" s="38"/>
      <c r="I64" s="37"/>
    </row>
    <row r="65" spans="2:9" ht="20.100000000000001" customHeight="1" x14ac:dyDescent="0.2">
      <c r="F65" s="37"/>
      <c r="G65" s="37"/>
      <c r="H65" s="37"/>
      <c r="I65" s="37"/>
    </row>
    <row r="66" spans="2:9" ht="20.100000000000001" customHeight="1" x14ac:dyDescent="0.25">
      <c r="B66" s="32"/>
      <c r="F66" s="37"/>
      <c r="G66" s="37"/>
      <c r="H66" s="37"/>
      <c r="I66" s="37"/>
    </row>
    <row r="67" spans="2:9" ht="20.100000000000001" customHeight="1" x14ac:dyDescent="0.2">
      <c r="C67" s="36"/>
      <c r="D67" s="36"/>
      <c r="E67" s="36"/>
      <c r="F67" s="37"/>
      <c r="G67" s="37"/>
      <c r="H67" s="37"/>
      <c r="I67" s="37"/>
    </row>
    <row r="68" spans="2:9" ht="20.100000000000001" customHeight="1" x14ac:dyDescent="0.2">
      <c r="C68" s="36"/>
      <c r="D68" s="36"/>
      <c r="E68" s="36"/>
      <c r="F68" s="37"/>
      <c r="G68" s="37"/>
      <c r="H68" s="37"/>
      <c r="I68" s="37"/>
    </row>
    <row r="69" spans="2:9" ht="20.100000000000001" customHeight="1" x14ac:dyDescent="0.2">
      <c r="C69" s="36"/>
      <c r="D69" s="36"/>
      <c r="E69" s="36"/>
      <c r="F69" s="37"/>
      <c r="G69" s="37"/>
      <c r="H69" s="37"/>
      <c r="I69" s="37"/>
    </row>
    <row r="70" spans="2:9" ht="20.100000000000001" customHeight="1" x14ac:dyDescent="0.2">
      <c r="F70" s="37"/>
      <c r="G70" s="37"/>
      <c r="H70" s="37"/>
      <c r="I70" s="37"/>
    </row>
    <row r="71" spans="2:9" ht="20.100000000000001" customHeight="1" x14ac:dyDescent="0.2">
      <c r="C71" s="36"/>
      <c r="D71" s="36"/>
      <c r="E71" s="36"/>
      <c r="F71" s="37"/>
      <c r="G71" s="37"/>
      <c r="H71" s="37"/>
      <c r="I71" s="37"/>
    </row>
    <row r="72" spans="2:9" ht="20.100000000000001" customHeight="1" x14ac:dyDescent="0.2">
      <c r="C72" s="36"/>
      <c r="D72" s="36"/>
      <c r="E72" s="36"/>
      <c r="F72" s="37"/>
      <c r="G72" s="37"/>
      <c r="H72" s="37"/>
      <c r="I72" s="37"/>
    </row>
    <row r="73" spans="2:9" ht="20.100000000000001" customHeight="1" x14ac:dyDescent="0.2">
      <c r="C73" s="36"/>
      <c r="D73" s="36"/>
      <c r="E73" s="36"/>
      <c r="F73" s="37"/>
      <c r="G73" s="37"/>
      <c r="H73" s="37"/>
      <c r="I73" s="37"/>
    </row>
    <row r="74" spans="2:9" ht="20.100000000000001" customHeight="1" x14ac:dyDescent="0.2">
      <c r="C74" s="36"/>
      <c r="D74" s="36"/>
      <c r="E74" s="36"/>
      <c r="F74" s="37"/>
      <c r="G74" s="37"/>
      <c r="H74" s="37"/>
      <c r="I74" s="37"/>
    </row>
    <row r="75" spans="2:9" ht="20.100000000000001" customHeight="1" x14ac:dyDescent="0.25">
      <c r="F75" s="37"/>
      <c r="G75" s="38"/>
      <c r="H75" s="38"/>
      <c r="I75" s="37"/>
    </row>
    <row r="76" spans="2:9" ht="20.100000000000001" customHeight="1" x14ac:dyDescent="0.25">
      <c r="F76" s="37"/>
      <c r="G76" s="38"/>
      <c r="H76" s="38"/>
      <c r="I76" s="37"/>
    </row>
    <row r="77" spans="2:9" ht="20.100000000000001" customHeight="1" x14ac:dyDescent="0.25">
      <c r="B77" s="32"/>
      <c r="C77" s="36"/>
      <c r="D77" s="36"/>
      <c r="E77" s="36"/>
      <c r="F77" s="37"/>
      <c r="G77" s="38"/>
      <c r="H77" s="38"/>
      <c r="I77" s="37"/>
    </row>
    <row r="78" spans="2:9" ht="20.100000000000001" customHeight="1" x14ac:dyDescent="0.2">
      <c r="F78" s="37"/>
      <c r="G78" s="37"/>
      <c r="H78" s="37"/>
      <c r="I78" s="37"/>
    </row>
    <row r="79" spans="2:9" ht="20.100000000000001" customHeight="1" x14ac:dyDescent="0.2">
      <c r="F79" s="37"/>
      <c r="G79" s="37"/>
      <c r="H79" s="37"/>
      <c r="I79" s="37"/>
    </row>
    <row r="80" spans="2:9" ht="20.100000000000001" customHeight="1" x14ac:dyDescent="0.2">
      <c r="F80" s="37"/>
      <c r="G80" s="37"/>
      <c r="H80" s="37"/>
      <c r="I80" s="37"/>
    </row>
    <row r="81" spans="6:9" ht="20.100000000000001" customHeight="1" x14ac:dyDescent="0.2">
      <c r="F81" s="37"/>
      <c r="G81" s="37"/>
      <c r="H81" s="37"/>
      <c r="I81" s="37"/>
    </row>
    <row r="82" spans="6:9" ht="20.100000000000001" customHeight="1" x14ac:dyDescent="0.2">
      <c r="F82" s="37"/>
      <c r="G82" s="37"/>
      <c r="H82" s="37"/>
      <c r="I82" s="37"/>
    </row>
    <row r="83" spans="6:9" ht="20.100000000000001" customHeight="1" x14ac:dyDescent="0.2">
      <c r="F83" s="37"/>
      <c r="G83" s="37"/>
      <c r="H83" s="37"/>
      <c r="I83" s="37"/>
    </row>
    <row r="84" spans="6:9" ht="20.100000000000001" customHeight="1" x14ac:dyDescent="0.2">
      <c r="F84" s="37"/>
      <c r="G84" s="37"/>
      <c r="H84" s="37"/>
      <c r="I84" s="37"/>
    </row>
    <row r="85" spans="6:9" ht="20.100000000000001" customHeight="1" x14ac:dyDescent="0.2">
      <c r="F85" s="37"/>
      <c r="G85" s="37"/>
      <c r="H85" s="37"/>
      <c r="I85" s="37"/>
    </row>
    <row r="86" spans="6:9" ht="20.100000000000001" customHeight="1" x14ac:dyDescent="0.2">
      <c r="F86" s="37"/>
      <c r="G86" s="37"/>
      <c r="H86" s="37"/>
      <c r="I86" s="37"/>
    </row>
    <row r="87" spans="6:9" ht="20.100000000000001" customHeight="1" x14ac:dyDescent="0.2">
      <c r="F87" s="37"/>
      <c r="G87" s="37"/>
      <c r="H87" s="37"/>
      <c r="I87" s="37"/>
    </row>
    <row r="88" spans="6:9" ht="20.100000000000001" customHeight="1" x14ac:dyDescent="0.2">
      <c r="F88" s="37"/>
      <c r="G88" s="37"/>
      <c r="H88" s="37"/>
      <c r="I88" s="37"/>
    </row>
    <row r="89" spans="6:9" ht="20.100000000000001" customHeight="1" x14ac:dyDescent="0.2">
      <c r="F89" s="37"/>
      <c r="G89" s="37"/>
      <c r="H89" s="37"/>
      <c r="I89" s="37"/>
    </row>
    <row r="90" spans="6:9" ht="20.100000000000001" customHeight="1" x14ac:dyDescent="0.2">
      <c r="F90" s="37"/>
      <c r="G90" s="37"/>
      <c r="H90" s="37"/>
      <c r="I90" s="37"/>
    </row>
    <row r="91" spans="6:9" ht="20.100000000000001" customHeight="1" x14ac:dyDescent="0.2">
      <c r="F91" s="37"/>
      <c r="G91" s="37"/>
      <c r="H91" s="37"/>
      <c r="I91" s="37"/>
    </row>
    <row r="92" spans="6:9" ht="20.100000000000001" customHeight="1" x14ac:dyDescent="0.2">
      <c r="F92" s="37"/>
      <c r="G92" s="37"/>
      <c r="H92" s="37"/>
      <c r="I92" s="37"/>
    </row>
    <row r="93" spans="6:9" ht="20.100000000000001" customHeight="1" x14ac:dyDescent="0.2">
      <c r="F93" s="37"/>
      <c r="G93" s="37"/>
      <c r="H93" s="37"/>
      <c r="I93" s="37"/>
    </row>
    <row r="94" spans="6:9" ht="20.100000000000001" customHeight="1" x14ac:dyDescent="0.2">
      <c r="F94" s="37"/>
      <c r="G94" s="37"/>
      <c r="H94" s="37"/>
      <c r="I94" s="37"/>
    </row>
    <row r="95" spans="6:9" ht="20.100000000000001" customHeight="1" x14ac:dyDescent="0.2">
      <c r="F95" s="37"/>
      <c r="G95" s="37"/>
      <c r="H95" s="37"/>
      <c r="I95" s="37"/>
    </row>
    <row r="96" spans="6:9" ht="20.100000000000001" customHeight="1" x14ac:dyDescent="0.2">
      <c r="F96" s="37"/>
      <c r="G96" s="37"/>
      <c r="H96" s="37"/>
      <c r="I96" s="37"/>
    </row>
    <row r="97" spans="6:9" ht="20.100000000000001" customHeight="1" x14ac:dyDescent="0.2">
      <c r="F97" s="37"/>
      <c r="G97" s="37"/>
      <c r="H97" s="37"/>
      <c r="I97" s="37"/>
    </row>
    <row r="98" spans="6:9" ht="20.100000000000001" customHeight="1" x14ac:dyDescent="0.2">
      <c r="F98" s="37"/>
      <c r="G98" s="37"/>
      <c r="H98" s="37"/>
      <c r="I98" s="37"/>
    </row>
    <row r="99" spans="6:9" ht="20.100000000000001" customHeight="1" x14ac:dyDescent="0.2">
      <c r="F99" s="37"/>
      <c r="G99" s="37"/>
      <c r="H99" s="37"/>
      <c r="I99" s="37"/>
    </row>
    <row r="100" spans="6:9" ht="20.100000000000001" customHeight="1" x14ac:dyDescent="0.2">
      <c r="F100" s="37"/>
      <c r="G100" s="37"/>
      <c r="H100" s="37"/>
      <c r="I100" s="37"/>
    </row>
    <row r="101" spans="6:9" ht="20.100000000000001" customHeight="1" x14ac:dyDescent="0.2">
      <c r="F101" s="37"/>
      <c r="G101" s="37"/>
      <c r="H101" s="37"/>
      <c r="I101" s="37"/>
    </row>
    <row r="102" spans="6:9" ht="20.100000000000001" customHeight="1" x14ac:dyDescent="0.2">
      <c r="F102" s="37"/>
      <c r="G102" s="37"/>
      <c r="H102" s="37"/>
      <c r="I102" s="37"/>
    </row>
    <row r="103" spans="6:9" ht="20.100000000000001" customHeight="1" x14ac:dyDescent="0.2">
      <c r="F103" s="37"/>
      <c r="G103" s="37"/>
      <c r="H103" s="37"/>
      <c r="I103" s="37"/>
    </row>
    <row r="104" spans="6:9" ht="20.100000000000001" customHeight="1" x14ac:dyDescent="0.2">
      <c r="F104" s="37"/>
      <c r="G104" s="37"/>
      <c r="H104" s="37"/>
      <c r="I104" s="37"/>
    </row>
    <row r="105" spans="6:9" ht="20.100000000000001" customHeight="1" x14ac:dyDescent="0.2">
      <c r="F105" s="37"/>
      <c r="G105" s="37"/>
      <c r="H105" s="37"/>
      <c r="I105" s="37"/>
    </row>
    <row r="106" spans="6:9" ht="20.100000000000001" customHeight="1" x14ac:dyDescent="0.2">
      <c r="F106" s="37"/>
      <c r="G106" s="37"/>
      <c r="H106" s="37"/>
      <c r="I106" s="37"/>
    </row>
    <row r="107" spans="6:9" ht="20.100000000000001" customHeight="1" x14ac:dyDescent="0.2">
      <c r="F107" s="37"/>
      <c r="G107" s="37"/>
      <c r="H107" s="37"/>
      <c r="I107" s="37"/>
    </row>
    <row r="108" spans="6:9" ht="20.100000000000001" customHeight="1" x14ac:dyDescent="0.2">
      <c r="F108" s="37"/>
      <c r="G108" s="37"/>
      <c r="H108" s="37"/>
      <c r="I108" s="37"/>
    </row>
    <row r="109" spans="6:9" ht="20.100000000000001" customHeight="1" x14ac:dyDescent="0.2">
      <c r="F109" s="37"/>
      <c r="G109" s="37"/>
      <c r="H109" s="37"/>
      <c r="I109" s="37"/>
    </row>
    <row r="110" spans="6:9" ht="20.100000000000001" customHeight="1" x14ac:dyDescent="0.2">
      <c r="F110" s="37"/>
      <c r="G110" s="37"/>
      <c r="H110" s="37"/>
      <c r="I110" s="37"/>
    </row>
    <row r="111" spans="6:9" ht="20.100000000000001" customHeight="1" x14ac:dyDescent="0.2">
      <c r="F111" s="37"/>
      <c r="G111" s="37"/>
      <c r="H111" s="37"/>
      <c r="I111" s="37"/>
    </row>
    <row r="112" spans="6:9" ht="20.100000000000001" customHeight="1" x14ac:dyDescent="0.2">
      <c r="F112" s="37"/>
      <c r="G112" s="37"/>
      <c r="H112" s="37"/>
      <c r="I112" s="37"/>
    </row>
    <row r="113" spans="6:9" ht="20.100000000000001" customHeight="1" x14ac:dyDescent="0.2">
      <c r="F113" s="37"/>
      <c r="G113" s="37"/>
      <c r="H113" s="37"/>
      <c r="I113" s="37"/>
    </row>
    <row r="114" spans="6:9" ht="20.100000000000001" customHeight="1" x14ac:dyDescent="0.2">
      <c r="F114" s="37"/>
      <c r="G114" s="37"/>
      <c r="H114" s="37"/>
      <c r="I114" s="37"/>
    </row>
    <row r="115" spans="6:9" ht="20.100000000000001" customHeight="1" x14ac:dyDescent="0.2">
      <c r="F115" s="37"/>
      <c r="G115" s="37"/>
      <c r="H115" s="37"/>
      <c r="I115" s="37"/>
    </row>
    <row r="116" spans="6:9" ht="20.100000000000001" customHeight="1" x14ac:dyDescent="0.2">
      <c r="F116" s="37"/>
      <c r="G116" s="37"/>
      <c r="H116" s="37"/>
      <c r="I116" s="37"/>
    </row>
    <row r="117" spans="6:9" ht="20.100000000000001" customHeight="1" x14ac:dyDescent="0.2">
      <c r="F117" s="37"/>
      <c r="G117" s="37"/>
      <c r="H117" s="37"/>
      <c r="I117" s="37"/>
    </row>
    <row r="118" spans="6:9" ht="20.100000000000001" customHeight="1" x14ac:dyDescent="0.2">
      <c r="F118" s="37"/>
      <c r="G118" s="37"/>
      <c r="H118" s="37"/>
      <c r="I118" s="37"/>
    </row>
    <row r="119" spans="6:9" ht="20.100000000000001" customHeight="1" x14ac:dyDescent="0.2">
      <c r="F119" s="37"/>
      <c r="G119" s="37"/>
      <c r="H119" s="37"/>
      <c r="I119" s="37"/>
    </row>
    <row r="120" spans="6:9" ht="20.100000000000001" customHeight="1" x14ac:dyDescent="0.2">
      <c r="F120" s="37"/>
      <c r="G120" s="37"/>
      <c r="H120" s="37"/>
      <c r="I120" s="37"/>
    </row>
    <row r="121" spans="6:9" ht="20.100000000000001" customHeight="1" x14ac:dyDescent="0.2">
      <c r="F121" s="37"/>
      <c r="G121" s="37"/>
      <c r="H121" s="37"/>
      <c r="I121" s="37"/>
    </row>
    <row r="122" spans="6:9" ht="20.100000000000001" customHeight="1" x14ac:dyDescent="0.2">
      <c r="F122" s="37"/>
      <c r="G122" s="37"/>
      <c r="H122" s="37"/>
      <c r="I122" s="37"/>
    </row>
    <row r="123" spans="6:9" ht="20.100000000000001" customHeight="1" x14ac:dyDescent="0.2">
      <c r="F123" s="37"/>
      <c r="G123" s="37"/>
      <c r="H123" s="37"/>
      <c r="I123" s="37"/>
    </row>
    <row r="124" spans="6:9" ht="20.100000000000001" customHeight="1" x14ac:dyDescent="0.2">
      <c r="F124" s="37"/>
      <c r="G124" s="37"/>
      <c r="H124" s="37"/>
      <c r="I124" s="37"/>
    </row>
    <row r="125" spans="6:9" ht="20.100000000000001" customHeight="1" x14ac:dyDescent="0.2">
      <c r="F125" s="37"/>
      <c r="G125" s="37"/>
      <c r="H125" s="37"/>
      <c r="I125" s="37"/>
    </row>
    <row r="126" spans="6:9" ht="20.100000000000001" customHeight="1" x14ac:dyDescent="0.2">
      <c r="F126" s="37"/>
      <c r="G126" s="37"/>
      <c r="H126" s="37"/>
      <c r="I126" s="37"/>
    </row>
    <row r="127" spans="6:9" ht="20.100000000000001" customHeight="1" x14ac:dyDescent="0.2">
      <c r="F127" s="37"/>
      <c r="G127" s="37"/>
      <c r="H127" s="37"/>
      <c r="I127" s="37"/>
    </row>
    <row r="128" spans="6:9" ht="20.100000000000001" customHeight="1" x14ac:dyDescent="0.2">
      <c r="F128" s="37"/>
      <c r="G128" s="37"/>
      <c r="H128" s="37"/>
      <c r="I128" s="37"/>
    </row>
    <row r="129" spans="6:9" ht="20.100000000000001" customHeight="1" x14ac:dyDescent="0.2">
      <c r="F129" s="37"/>
      <c r="G129" s="37"/>
      <c r="H129" s="37"/>
      <c r="I129" s="37"/>
    </row>
    <row r="130" spans="6:9" ht="20.100000000000001" customHeight="1" x14ac:dyDescent="0.2">
      <c r="F130" s="37"/>
      <c r="G130" s="37"/>
      <c r="H130" s="37"/>
      <c r="I130" s="37"/>
    </row>
    <row r="131" spans="6:9" ht="20.100000000000001" customHeight="1" x14ac:dyDescent="0.2">
      <c r="F131" s="37"/>
      <c r="G131" s="37"/>
      <c r="H131" s="37"/>
      <c r="I131" s="37"/>
    </row>
    <row r="132" spans="6:9" ht="20.100000000000001" customHeight="1" x14ac:dyDescent="0.2">
      <c r="F132" s="37"/>
      <c r="G132" s="37"/>
      <c r="H132" s="37"/>
      <c r="I132" s="37"/>
    </row>
    <row r="133" spans="6:9" ht="20.100000000000001" customHeight="1" x14ac:dyDescent="0.2">
      <c r="F133" s="37"/>
      <c r="G133" s="37"/>
      <c r="H133" s="37"/>
      <c r="I133" s="37"/>
    </row>
    <row r="134" spans="6:9" ht="20.100000000000001" customHeight="1" x14ac:dyDescent="0.2">
      <c r="F134" s="37"/>
      <c r="G134" s="37"/>
      <c r="H134" s="37"/>
      <c r="I134" s="37"/>
    </row>
    <row r="135" spans="6:9" ht="20.100000000000001" customHeight="1" x14ac:dyDescent="0.2">
      <c r="F135" s="37"/>
      <c r="G135" s="37"/>
      <c r="H135" s="37"/>
      <c r="I135" s="37"/>
    </row>
    <row r="136" spans="6:9" ht="20.100000000000001" customHeight="1" x14ac:dyDescent="0.2">
      <c r="F136" s="37"/>
      <c r="G136" s="37"/>
      <c r="H136" s="37"/>
      <c r="I136" s="37"/>
    </row>
    <row r="137" spans="6:9" ht="20.100000000000001" customHeight="1" x14ac:dyDescent="0.2">
      <c r="F137" s="37"/>
      <c r="G137" s="37"/>
      <c r="H137" s="37"/>
      <c r="I137" s="37"/>
    </row>
    <row r="138" spans="6:9" ht="20.100000000000001" customHeight="1" x14ac:dyDescent="0.2">
      <c r="F138" s="37"/>
      <c r="G138" s="37"/>
      <c r="H138" s="37"/>
      <c r="I138" s="37"/>
    </row>
    <row r="139" spans="6:9" ht="20.100000000000001" customHeight="1" x14ac:dyDescent="0.2">
      <c r="F139" s="37"/>
      <c r="G139" s="37"/>
      <c r="H139" s="37"/>
      <c r="I139" s="37"/>
    </row>
    <row r="140" spans="6:9" ht="20.100000000000001" customHeight="1" x14ac:dyDescent="0.2">
      <c r="F140" s="37"/>
      <c r="G140" s="37"/>
      <c r="H140" s="37"/>
      <c r="I140" s="37"/>
    </row>
    <row r="141" spans="6:9" ht="20.100000000000001" customHeight="1" x14ac:dyDescent="0.2">
      <c r="F141" s="37"/>
      <c r="G141" s="37"/>
      <c r="H141" s="37"/>
      <c r="I141" s="37"/>
    </row>
    <row r="142" spans="6:9" ht="20.100000000000001" customHeight="1" x14ac:dyDescent="0.2">
      <c r="F142" s="37"/>
      <c r="G142" s="37"/>
      <c r="H142" s="37"/>
      <c r="I142" s="37"/>
    </row>
    <row r="143" spans="6:9" ht="20.100000000000001" customHeight="1" x14ac:dyDescent="0.2">
      <c r="F143" s="37"/>
      <c r="G143" s="37"/>
      <c r="H143" s="37"/>
      <c r="I143" s="37"/>
    </row>
    <row r="144" spans="6:9" ht="20.100000000000001" customHeight="1" x14ac:dyDescent="0.2">
      <c r="F144" s="37"/>
      <c r="G144" s="37"/>
      <c r="H144" s="37"/>
      <c r="I144" s="37"/>
    </row>
    <row r="145" spans="6:9" ht="20.100000000000001" customHeight="1" x14ac:dyDescent="0.2">
      <c r="F145" s="37"/>
      <c r="G145" s="37"/>
      <c r="H145" s="37"/>
      <c r="I145" s="37"/>
    </row>
    <row r="146" spans="6:9" ht="20.100000000000001" customHeight="1" x14ac:dyDescent="0.2">
      <c r="F146" s="37"/>
      <c r="G146" s="37"/>
      <c r="H146" s="37"/>
      <c r="I146" s="37"/>
    </row>
    <row r="147" spans="6:9" ht="20.100000000000001" customHeight="1" x14ac:dyDescent="0.2">
      <c r="F147" s="37"/>
      <c r="G147" s="37"/>
      <c r="H147" s="37"/>
      <c r="I147" s="37"/>
    </row>
    <row r="148" spans="6:9" ht="20.100000000000001" customHeight="1" x14ac:dyDescent="0.2">
      <c r="F148" s="37"/>
      <c r="G148" s="37"/>
      <c r="H148" s="37"/>
      <c r="I148" s="37"/>
    </row>
    <row r="149" spans="6:9" ht="20.100000000000001" customHeight="1" x14ac:dyDescent="0.2">
      <c r="F149" s="37"/>
      <c r="G149" s="37"/>
      <c r="H149" s="37"/>
      <c r="I149" s="37"/>
    </row>
    <row r="150" spans="6:9" ht="20.100000000000001" customHeight="1" x14ac:dyDescent="0.2">
      <c r="F150" s="37"/>
      <c r="G150" s="37"/>
      <c r="H150" s="37"/>
      <c r="I150" s="37"/>
    </row>
    <row r="151" spans="6:9" ht="20.100000000000001" customHeight="1" x14ac:dyDescent="0.2">
      <c r="F151" s="39"/>
      <c r="G151" s="39"/>
      <c r="H151" s="39"/>
      <c r="I151" s="39"/>
    </row>
    <row r="152" spans="6:9" ht="20.100000000000001" customHeight="1" x14ac:dyDescent="0.2">
      <c r="F152" s="39"/>
      <c r="G152" s="39"/>
      <c r="H152" s="39"/>
      <c r="I152" s="39"/>
    </row>
    <row r="153" spans="6:9" ht="20.100000000000001" customHeight="1" x14ac:dyDescent="0.2">
      <c r="F153" s="39"/>
      <c r="G153" s="39"/>
      <c r="H153" s="39"/>
      <c r="I153" s="39"/>
    </row>
    <row r="154" spans="6:9" ht="20.100000000000001" customHeight="1" x14ac:dyDescent="0.2">
      <c r="F154" s="39"/>
      <c r="G154" s="39"/>
      <c r="H154" s="39"/>
      <c r="I154" s="39"/>
    </row>
    <row r="155" spans="6:9" ht="20.100000000000001" customHeight="1" x14ac:dyDescent="0.2">
      <c r="F155" s="39"/>
      <c r="G155" s="39"/>
      <c r="H155" s="39"/>
      <c r="I155" s="39"/>
    </row>
    <row r="156" spans="6:9" ht="20.100000000000001" customHeight="1" x14ac:dyDescent="0.2">
      <c r="F156" s="39"/>
      <c r="G156" s="39"/>
      <c r="H156" s="39"/>
      <c r="I156" s="39"/>
    </row>
    <row r="157" spans="6:9" ht="20.100000000000001" customHeight="1" x14ac:dyDescent="0.2"/>
    <row r="158" spans="6:9" ht="20.100000000000001" customHeight="1" x14ac:dyDescent="0.2"/>
    <row r="159" spans="6:9" ht="20.100000000000001" customHeight="1" x14ac:dyDescent="0.2"/>
    <row r="160" spans="6:9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</sheetData>
  <pageMargins left="0" right="0" top="0.15748031496062992" bottom="0.15748031496062992" header="0.11811023622047245" footer="0.11811023622047245"/>
  <pageSetup scale="9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B61D-6848-4BFE-BA01-A29A0B276F43}">
  <sheetPr>
    <pageSetUpPr fitToPage="1"/>
  </sheetPr>
  <dimension ref="A1:L63"/>
  <sheetViews>
    <sheetView topLeftCell="A24" zoomScale="75" zoomScaleNormal="75" workbookViewId="0">
      <selection activeCell="L9" sqref="L9"/>
    </sheetView>
  </sheetViews>
  <sheetFormatPr defaultRowHeight="15" x14ac:dyDescent="0.2"/>
  <cols>
    <col min="1" max="1" width="2.85546875" style="31" customWidth="1"/>
    <col min="2" max="2" width="42.7109375" style="31" customWidth="1"/>
    <col min="3" max="3" width="5.42578125" style="31" hidden="1" customWidth="1"/>
    <col min="4" max="4" width="15.140625" style="31" customWidth="1"/>
    <col min="5" max="5" width="16.5703125" style="31" customWidth="1"/>
    <col min="6" max="6" width="16.7109375" style="31" hidden="1" customWidth="1"/>
    <col min="7" max="7" width="15.85546875" style="31" hidden="1" customWidth="1"/>
    <col min="8" max="9" width="16" style="31" customWidth="1"/>
    <col min="10" max="10" width="9.140625" style="31"/>
    <col min="11" max="11" width="11" style="31" bestFit="1" customWidth="1"/>
    <col min="12" max="15" width="9.140625" style="31"/>
    <col min="16" max="16" width="9.7109375" style="31" customWidth="1"/>
    <col min="17" max="16384" width="9.140625" style="31"/>
  </cols>
  <sheetData>
    <row r="1" spans="1:9" ht="18" x14ac:dyDescent="0.25">
      <c r="A1" s="53" t="s">
        <v>1803</v>
      </c>
      <c r="B1" s="54"/>
      <c r="C1" s="54"/>
      <c r="D1" s="54"/>
      <c r="E1" s="54"/>
      <c r="F1" s="54"/>
      <c r="G1" s="54"/>
      <c r="H1" s="54"/>
      <c r="I1" s="54"/>
    </row>
    <row r="2" spans="1:9" ht="18" x14ac:dyDescent="0.25">
      <c r="A2" s="53" t="s">
        <v>1804</v>
      </c>
      <c r="B2" s="54"/>
      <c r="C2" s="54"/>
      <c r="D2" s="54"/>
      <c r="E2" s="54"/>
      <c r="F2" s="54"/>
      <c r="G2" s="54"/>
      <c r="H2" s="54"/>
      <c r="I2" s="54"/>
    </row>
    <row r="3" spans="1:9" ht="18" x14ac:dyDescent="0.25">
      <c r="A3" s="53" t="s">
        <v>2081</v>
      </c>
      <c r="B3" s="54"/>
      <c r="C3" s="54"/>
      <c r="D3" s="54"/>
      <c r="E3" s="54"/>
      <c r="F3" s="54"/>
      <c r="G3" s="54"/>
      <c r="H3" s="54"/>
      <c r="I3" s="54"/>
    </row>
    <row r="4" spans="1:9" ht="15.75" thickBot="1" x14ac:dyDescent="0.25"/>
    <row r="5" spans="1:9" ht="30" customHeight="1" thickTop="1" thickBot="1" x14ac:dyDescent="0.25">
      <c r="A5" s="59"/>
      <c r="B5" s="59"/>
      <c r="C5" s="93"/>
      <c r="D5" s="85" t="s">
        <v>2080</v>
      </c>
      <c r="E5" s="85" t="s">
        <v>2079</v>
      </c>
      <c r="F5" s="85" t="s">
        <v>2078</v>
      </c>
      <c r="G5" s="85" t="s">
        <v>2041</v>
      </c>
      <c r="H5" s="85" t="s">
        <v>2042</v>
      </c>
      <c r="I5" s="85" t="s">
        <v>2040</v>
      </c>
    </row>
    <row r="6" spans="1:9" ht="17.25" customHeight="1" thickTop="1" x14ac:dyDescent="0.2">
      <c r="F6" s="82"/>
      <c r="G6" s="64" t="s">
        <v>2077</v>
      </c>
      <c r="H6" s="82"/>
      <c r="I6" s="82"/>
    </row>
    <row r="7" spans="1:9" ht="19.5" customHeight="1" x14ac:dyDescent="0.25">
      <c r="A7" s="32" t="s">
        <v>1805</v>
      </c>
    </row>
    <row r="8" spans="1:9" ht="19.5" customHeight="1" x14ac:dyDescent="0.2">
      <c r="B8" s="31" t="s">
        <v>1806</v>
      </c>
      <c r="D8" s="41">
        <f>'Revenues_Town '!D9</f>
        <v>731340</v>
      </c>
      <c r="E8" s="41">
        <f>'Revenues_Town '!E9</f>
        <v>712597</v>
      </c>
      <c r="F8" s="41">
        <f>'Revenues_Town '!F9</f>
        <v>76995</v>
      </c>
      <c r="G8" s="41">
        <f>'Revenues_Town '!G9</f>
        <v>635602</v>
      </c>
      <c r="H8" s="41">
        <f>'Revenues_Town '!H9</f>
        <v>686352</v>
      </c>
      <c r="I8" s="41">
        <v>673572</v>
      </c>
    </row>
    <row r="9" spans="1:9" ht="19.5" customHeight="1" x14ac:dyDescent="0.2">
      <c r="B9" s="31" t="s">
        <v>1807</v>
      </c>
      <c r="D9" s="41">
        <f>'Revenues_Town '!D10</f>
        <v>78013</v>
      </c>
      <c r="E9" s="41">
        <f>'Revenues_Town '!E10</f>
        <v>78014</v>
      </c>
      <c r="F9" s="41">
        <f>'Revenues_Town '!F10</f>
        <v>6502</v>
      </c>
      <c r="G9" s="41">
        <f>'Revenues_Town '!G10</f>
        <v>71512</v>
      </c>
      <c r="H9" s="41">
        <f>'Revenues_Town '!H10</f>
        <v>78013</v>
      </c>
      <c r="I9" s="41">
        <v>73596</v>
      </c>
    </row>
    <row r="10" spans="1:9" ht="19.5" customHeight="1" x14ac:dyDescent="0.2">
      <c r="B10" s="31" t="s">
        <v>749</v>
      </c>
      <c r="D10" s="41">
        <f>'Revenues_Town '!D11</f>
        <v>65000</v>
      </c>
      <c r="E10" s="41">
        <f>'Revenues_Town '!E11</f>
        <v>64352</v>
      </c>
      <c r="F10" s="41">
        <f>'Revenues_Town '!F11</f>
        <v>14807</v>
      </c>
      <c r="G10" s="41">
        <f>'Revenues_Town '!G11</f>
        <v>49545</v>
      </c>
      <c r="H10" s="41">
        <f>'Revenues_Town '!H11</f>
        <v>58500</v>
      </c>
      <c r="I10" s="41">
        <v>62238</v>
      </c>
    </row>
    <row r="11" spans="1:9" ht="19.5" customHeight="1" x14ac:dyDescent="0.2">
      <c r="B11" s="31" t="s">
        <v>1808</v>
      </c>
      <c r="D11" s="41">
        <f>'Revenues_Town '!D12</f>
        <v>28621</v>
      </c>
      <c r="E11" s="41">
        <f>'Revenues_Town '!E12</f>
        <v>40207</v>
      </c>
      <c r="F11" s="41">
        <f>'Revenues_Town '!F12</f>
        <v>0</v>
      </c>
      <c r="G11" s="41">
        <f>'Revenues_Town '!G12</f>
        <v>40207</v>
      </c>
      <c r="H11" s="41">
        <f>'Revenues_Town '!H12</f>
        <v>11000</v>
      </c>
      <c r="I11" s="41">
        <v>37153</v>
      </c>
    </row>
    <row r="12" spans="1:9" ht="19.5" customHeight="1" x14ac:dyDescent="0.2">
      <c r="B12" s="31" t="s">
        <v>1809</v>
      </c>
      <c r="D12" s="41">
        <f>'Revenues_Town '!D13</f>
        <v>5000</v>
      </c>
      <c r="E12" s="41">
        <f>'Revenues_Town '!E13</f>
        <v>5000</v>
      </c>
      <c r="F12" s="41">
        <f>'Revenues_Town '!F13</f>
        <v>0</v>
      </c>
      <c r="G12" s="41">
        <f>'Revenues_Town '!G13</f>
        <v>5000</v>
      </c>
      <c r="H12" s="41">
        <f>'Revenues_Town '!H13</f>
        <v>5000</v>
      </c>
      <c r="I12" s="41">
        <v>5000</v>
      </c>
    </row>
    <row r="13" spans="1:9" ht="19.5" customHeight="1" x14ac:dyDescent="0.2">
      <c r="B13" s="31" t="s">
        <v>1119</v>
      </c>
      <c r="D13" s="41">
        <f>'Revenues_Town '!D14</f>
        <v>14500</v>
      </c>
      <c r="E13" s="41">
        <f>'Revenues_Town '!E14</f>
        <v>12961</v>
      </c>
      <c r="F13" s="41">
        <f>'Revenues_Town '!F14</f>
        <v>0</v>
      </c>
      <c r="G13" s="41">
        <f>'Revenues_Town '!G14</f>
        <v>12961</v>
      </c>
      <c r="H13" s="41">
        <f>'Revenues_Town '!H14</f>
        <v>18000</v>
      </c>
      <c r="I13" s="41">
        <v>16737</v>
      </c>
    </row>
    <row r="14" spans="1:9" ht="19.5" customHeight="1" x14ac:dyDescent="0.2">
      <c r="B14" s="31" t="s">
        <v>573</v>
      </c>
      <c r="D14" s="41">
        <f>'Revenues_Town '!D15</f>
        <v>15500</v>
      </c>
      <c r="E14" s="41">
        <f>'Revenues_Town '!E15</f>
        <v>34874</v>
      </c>
      <c r="F14" s="41">
        <f>'Revenues_Town '!F15</f>
        <v>8500</v>
      </c>
      <c r="G14" s="41">
        <f>'Revenues_Town '!G15</f>
        <v>26374</v>
      </c>
      <c r="H14" s="41">
        <f>'Revenues_Town '!H15</f>
        <v>6000</v>
      </c>
      <c r="I14" s="41">
        <v>20899</v>
      </c>
    </row>
    <row r="15" spans="1:9" ht="19.5" customHeight="1" x14ac:dyDescent="0.2">
      <c r="B15" s="31" t="s">
        <v>1810</v>
      </c>
      <c r="D15" s="41">
        <f>'Revenues_Town '!D16</f>
        <v>6000</v>
      </c>
      <c r="E15" s="41">
        <f>'Revenues_Town '!E16</f>
        <v>6046</v>
      </c>
      <c r="F15" s="41">
        <f>'Revenues_Town '!F16</f>
        <v>400</v>
      </c>
      <c r="G15" s="41">
        <f>'Revenues_Town '!G16</f>
        <v>5646</v>
      </c>
      <c r="H15" s="41">
        <f>'Revenues_Town '!H16</f>
        <v>5000</v>
      </c>
      <c r="I15" s="41">
        <v>5165</v>
      </c>
    </row>
    <row r="16" spans="1:9" ht="19.5" customHeight="1" x14ac:dyDescent="0.2">
      <c r="B16" s="31" t="s">
        <v>1811</v>
      </c>
      <c r="D16" s="41">
        <f>'Revenues_Town '!D17</f>
        <v>3500</v>
      </c>
      <c r="E16" s="41">
        <f>'Revenues_Town '!E17</f>
        <v>3350</v>
      </c>
      <c r="F16" s="41">
        <f>'Revenues_Town '!F17</f>
        <v>300</v>
      </c>
      <c r="G16" s="41">
        <f>'Revenues_Town '!G17</f>
        <v>3050</v>
      </c>
      <c r="H16" s="41">
        <f>'Revenues_Town '!H17</f>
        <v>3000</v>
      </c>
      <c r="I16" s="41">
        <v>3256</v>
      </c>
    </row>
    <row r="17" spans="1:11" ht="19.5" customHeight="1" x14ac:dyDescent="0.2">
      <c r="B17" s="31" t="s">
        <v>2293</v>
      </c>
      <c r="D17" s="41">
        <f>'Operations_Arena(S.7)'!D18</f>
        <v>138400</v>
      </c>
      <c r="E17" s="41">
        <f>'Operations_Arena(S.7)'!E18</f>
        <v>138774</v>
      </c>
      <c r="F17" s="41">
        <f>'Operations_Arena(S.7)'!F18</f>
        <v>16000</v>
      </c>
      <c r="G17" s="41">
        <f>'Operations_Arena(S.7)'!G18</f>
        <v>122774</v>
      </c>
      <c r="H17" s="41">
        <f>'Operations_Arena(S.7)'!H18</f>
        <v>105500</v>
      </c>
      <c r="I17" s="41">
        <f>'Operations_Arena(S.7)'!I18</f>
        <v>122686</v>
      </c>
    </row>
    <row r="18" spans="1:11" ht="19.5" customHeight="1" x14ac:dyDescent="0.2">
      <c r="F18" s="41">
        <f>'Revenues_Town '!F18</f>
        <v>0</v>
      </c>
      <c r="G18" s="41"/>
      <c r="H18" s="41"/>
      <c r="I18" s="41"/>
    </row>
    <row r="19" spans="1:11" ht="30" customHeight="1" x14ac:dyDescent="0.25">
      <c r="D19" s="43">
        <f t="shared" ref="D19:E19" si="0">SUM(D8:D18)</f>
        <v>1085874</v>
      </c>
      <c r="E19" s="43">
        <f t="shared" si="0"/>
        <v>1096175</v>
      </c>
      <c r="F19" s="43">
        <f>SUM(F8:F18)</f>
        <v>123504</v>
      </c>
      <c r="G19" s="43">
        <f t="shared" ref="G19:I19" si="1">SUM(G8:G18)</f>
        <v>972671</v>
      </c>
      <c r="H19" s="43">
        <f>SUM(H8:H18)</f>
        <v>976365</v>
      </c>
      <c r="I19" s="43">
        <f t="shared" si="1"/>
        <v>1020302</v>
      </c>
      <c r="K19" s="49">
        <f>I19-I17</f>
        <v>897616</v>
      </c>
    </row>
    <row r="20" spans="1:11" ht="20.100000000000001" customHeight="1" x14ac:dyDescent="0.2">
      <c r="F20" s="41"/>
      <c r="G20" s="41"/>
      <c r="H20" s="41"/>
      <c r="I20" s="41"/>
    </row>
    <row r="21" spans="1:11" ht="20.100000000000001" customHeight="1" x14ac:dyDescent="0.25">
      <c r="A21" s="32" t="s">
        <v>1812</v>
      </c>
      <c r="F21" s="41"/>
      <c r="G21" s="41"/>
      <c r="H21" s="41"/>
      <c r="I21" s="41"/>
    </row>
    <row r="22" spans="1:11" ht="20.100000000000001" customHeight="1" x14ac:dyDescent="0.2">
      <c r="B22" s="31" t="s">
        <v>1937</v>
      </c>
      <c r="D22" s="226">
        <f>'Expenditures_Town(S.4)'!D20</f>
        <v>174550</v>
      </c>
      <c r="E22" s="41">
        <f>'Expenditures_Town(S.4)'!E20</f>
        <v>147971</v>
      </c>
      <c r="F22" s="41">
        <f>'Expenditures_Town(S.4)'!F20</f>
        <v>23416</v>
      </c>
      <c r="G22" s="41">
        <f>'Expenditures_Town(S.4)'!G20</f>
        <v>124555</v>
      </c>
      <c r="H22" s="41">
        <f>'Expenditures_Town(S.4)'!H20</f>
        <v>146520</v>
      </c>
      <c r="I22" s="41">
        <v>142635</v>
      </c>
    </row>
    <row r="23" spans="1:11" ht="20.100000000000001" customHeight="1" x14ac:dyDescent="0.2">
      <c r="B23" s="31" t="s">
        <v>1833</v>
      </c>
      <c r="D23" s="41">
        <f>'Expenditures_Town(S.4)'!D42</f>
        <v>213923</v>
      </c>
      <c r="E23" s="41">
        <f>'Expenditures_Town(S.4)'!E42</f>
        <v>199783</v>
      </c>
      <c r="F23" s="41">
        <f>'Expenditures_Town(S.4)'!F42</f>
        <v>-43719</v>
      </c>
      <c r="G23" s="41">
        <f>'Expenditures_Town(S.4)'!G42</f>
        <v>243502</v>
      </c>
      <c r="H23" s="41">
        <f>'Expenditures_Town(S.4)'!H42</f>
        <v>194300</v>
      </c>
      <c r="I23" s="41">
        <v>183388</v>
      </c>
    </row>
    <row r="24" spans="1:11" ht="20.100000000000001" customHeight="1" x14ac:dyDescent="0.2">
      <c r="B24" s="31" t="s">
        <v>1813</v>
      </c>
      <c r="D24" s="41">
        <f>'Expenditures_Town(S.4)'!D45</f>
        <v>111260</v>
      </c>
      <c r="E24" s="41">
        <f>'Expenditures_Town(S.4)'!E45</f>
        <v>106852</v>
      </c>
      <c r="F24" s="41">
        <f>'Expenditures_Town(S.4)'!F45</f>
        <v>26713</v>
      </c>
      <c r="G24" s="41">
        <f>'Expenditures_Town(S.4)'!G45</f>
        <v>80139</v>
      </c>
      <c r="H24" s="41">
        <f>'Expenditures_Town(S.4)'!H45</f>
        <v>110000</v>
      </c>
      <c r="I24" s="41">
        <v>105303</v>
      </c>
    </row>
    <row r="25" spans="1:11" ht="20.100000000000001" customHeight="1" x14ac:dyDescent="0.2">
      <c r="B25" s="31" t="s">
        <v>1938</v>
      </c>
      <c r="D25" s="41">
        <f>'Expenditures_Town(S.4)'!D57</f>
        <v>53268</v>
      </c>
      <c r="E25" s="41">
        <f>'Expenditures_Town(S.4)'!E57</f>
        <v>41389</v>
      </c>
      <c r="F25" s="41">
        <f>'Expenditures_Town(S.4)'!F57</f>
        <v>4067</v>
      </c>
      <c r="G25" s="41">
        <f>'Expenditures_Town(S.4)'!G57</f>
        <v>37322</v>
      </c>
      <c r="H25" s="41">
        <f>'Expenditures_Town(S.4)'!H57</f>
        <v>51830</v>
      </c>
      <c r="I25" s="41">
        <v>49014</v>
      </c>
    </row>
    <row r="26" spans="1:11" ht="20.100000000000001" customHeight="1" x14ac:dyDescent="0.2">
      <c r="B26" s="31" t="s">
        <v>1939</v>
      </c>
      <c r="D26" s="41">
        <f>'Expenditures_Town(S.4)'!D67</f>
        <v>158376</v>
      </c>
      <c r="E26" s="41">
        <f>'Expenditures_Town(S.4)'!E67</f>
        <v>140194</v>
      </c>
      <c r="F26" s="41">
        <f>'Expenditures_Town(S.4)'!F67</f>
        <v>40533</v>
      </c>
      <c r="G26" s="41">
        <f>'Expenditures_Town(S.4)'!G67</f>
        <v>99661</v>
      </c>
      <c r="H26" s="41">
        <f>'Expenditures_Town(S.4)'!H67</f>
        <v>152500</v>
      </c>
      <c r="I26" s="41">
        <v>112716</v>
      </c>
    </row>
    <row r="27" spans="1:11" ht="20.100000000000001" customHeight="1" x14ac:dyDescent="0.2">
      <c r="B27" s="31" t="s">
        <v>1899</v>
      </c>
      <c r="D27" s="41">
        <f>'Expenditures_Town(S.4)'!D78</f>
        <v>196138</v>
      </c>
      <c r="E27" s="41">
        <f>'Expenditures_Town(S.4)'!E78</f>
        <v>185275</v>
      </c>
      <c r="F27" s="41">
        <f>'Expenditures_Town(S.4)'!F78</f>
        <v>12375</v>
      </c>
      <c r="G27" s="41">
        <f>'Expenditures_Town(S.4)'!G78</f>
        <v>172900</v>
      </c>
      <c r="H27" s="41">
        <f>'Expenditures_Town(S.4)'!H78</f>
        <v>168500</v>
      </c>
      <c r="I27" s="41">
        <v>189849</v>
      </c>
    </row>
    <row r="28" spans="1:11" ht="20.100000000000001" customHeight="1" x14ac:dyDescent="0.2">
      <c r="B28" s="31" t="s">
        <v>2293</v>
      </c>
      <c r="D28" s="41">
        <f>'Operations_Arena(S.7)'!D34</f>
        <v>249398</v>
      </c>
      <c r="E28" s="41">
        <f>'Operations_Arena(S.7)'!E34</f>
        <v>229208</v>
      </c>
      <c r="F28" s="41">
        <f>'Operations_Arena(S.7)'!F34</f>
        <v>54198</v>
      </c>
      <c r="G28" s="41">
        <f>'Operations_Arena(S.7)'!G34</f>
        <v>175010</v>
      </c>
      <c r="H28" s="41">
        <f>'Operations_Arena(S.7)'!H34</f>
        <v>191800</v>
      </c>
      <c r="I28" s="41">
        <f>'Operations_Arena(S.7)'!I34</f>
        <v>201098</v>
      </c>
    </row>
    <row r="29" spans="1:11" ht="30" customHeight="1" x14ac:dyDescent="0.25">
      <c r="D29" s="43">
        <f>SUM(D22:D28)</f>
        <v>1156913</v>
      </c>
      <c r="E29" s="43">
        <f t="shared" ref="E29:I29" si="2">SUM(E22:E28)</f>
        <v>1050672</v>
      </c>
      <c r="F29" s="43">
        <f t="shared" si="2"/>
        <v>117583</v>
      </c>
      <c r="G29" s="43">
        <f t="shared" si="2"/>
        <v>933089</v>
      </c>
      <c r="H29" s="43">
        <f t="shared" si="2"/>
        <v>1015450</v>
      </c>
      <c r="I29" s="43">
        <f t="shared" si="2"/>
        <v>984003</v>
      </c>
      <c r="K29" s="49">
        <f>I29-I28</f>
        <v>782905</v>
      </c>
    </row>
    <row r="30" spans="1:11" ht="30" customHeight="1" x14ac:dyDescent="0.25">
      <c r="A30" s="32" t="s">
        <v>1974</v>
      </c>
      <c r="D30" s="216">
        <f>D19-D29</f>
        <v>-71039</v>
      </c>
      <c r="E30" s="44">
        <f>E19-E29</f>
        <v>45503</v>
      </c>
      <c r="F30" s="44">
        <f>F19-F29</f>
        <v>5921</v>
      </c>
      <c r="G30" s="44">
        <f>G19-G29</f>
        <v>39582</v>
      </c>
      <c r="H30" s="44">
        <f>H19-H29</f>
        <v>-39085</v>
      </c>
      <c r="I30" s="44">
        <f>I19-I29</f>
        <v>36299</v>
      </c>
    </row>
    <row r="31" spans="1:11" ht="20.100000000000001" customHeight="1" x14ac:dyDescent="0.2">
      <c r="F31" s="41"/>
      <c r="G31" s="41"/>
      <c r="H31" s="41"/>
      <c r="I31" s="41"/>
    </row>
    <row r="32" spans="1:11" ht="20.100000000000001" customHeight="1" x14ac:dyDescent="0.25">
      <c r="A32" s="32" t="s">
        <v>1814</v>
      </c>
      <c r="F32" s="41"/>
      <c r="G32" s="41"/>
      <c r="H32" s="41"/>
      <c r="I32" s="41"/>
    </row>
    <row r="33" spans="1:12" ht="20.100000000000001" customHeight="1" x14ac:dyDescent="0.2">
      <c r="B33" s="31" t="s">
        <v>2497</v>
      </c>
      <c r="D33" s="41">
        <f>'Revenues_Town '!D22+'Operations_Arena(S.7)'!D40</f>
        <v>127700</v>
      </c>
      <c r="E33" s="41">
        <f>'Revenues_Town '!E22+'Operations_Arena(S.7)'!E40</f>
        <v>139844</v>
      </c>
      <c r="F33" s="41">
        <f>'Revenues_Town '!F22+'Operations_Arena(S.7)'!F40</f>
        <v>18702</v>
      </c>
      <c r="G33" s="41">
        <f>'Revenues_Town '!G22+'Operations_Arena(S.7)'!G40</f>
        <v>121142</v>
      </c>
      <c r="H33" s="41">
        <f>'Revenues_Town '!H22+'Operations_Arena(S.7)'!H40</f>
        <v>15000</v>
      </c>
      <c r="I33" s="41">
        <f>57636+136991</f>
        <v>194627</v>
      </c>
      <c r="K33" s="31" t="s">
        <v>2495</v>
      </c>
      <c r="L33" s="31" t="s">
        <v>2496</v>
      </c>
    </row>
    <row r="34" spans="1:12" ht="20.100000000000001" customHeight="1" x14ac:dyDescent="0.2">
      <c r="B34" s="31" t="s">
        <v>1931</v>
      </c>
      <c r="D34" s="41">
        <f>'Revenues_Town '!D27</f>
        <v>0</v>
      </c>
      <c r="E34" s="41">
        <f>'Revenues_Town '!E27</f>
        <v>0</v>
      </c>
      <c r="F34" s="41">
        <f>'Revenues_Town '!F27</f>
        <v>0</v>
      </c>
      <c r="G34" s="41">
        <f>'Revenues_Town '!G27</f>
        <v>0</v>
      </c>
      <c r="H34" s="41">
        <f>'Revenues_Town '!H27</f>
        <v>0</v>
      </c>
      <c r="I34" s="41">
        <v>27750</v>
      </c>
    </row>
    <row r="35" spans="1:12" ht="20.100000000000001" customHeight="1" x14ac:dyDescent="0.2">
      <c r="B35" s="31" t="s">
        <v>1816</v>
      </c>
      <c r="D35" s="41">
        <f>'Revenues_Town '!D28</f>
        <v>0</v>
      </c>
      <c r="E35" s="41">
        <f>'Revenues_Town '!E28</f>
        <v>0</v>
      </c>
      <c r="F35" s="41">
        <f>'Revenues_Town '!F28</f>
        <v>0</v>
      </c>
      <c r="G35" s="41">
        <f>'Revenues_Town '!G28</f>
        <v>0</v>
      </c>
      <c r="H35" s="41">
        <f>'Revenues_Town '!H28</f>
        <v>0</v>
      </c>
      <c r="I35" s="41">
        <v>12195</v>
      </c>
    </row>
    <row r="36" spans="1:12" ht="30" customHeight="1" x14ac:dyDescent="0.25">
      <c r="D36" s="43">
        <f t="shared" ref="D36:I36" si="3">SUM(D33:D35)</f>
        <v>127700</v>
      </c>
      <c r="E36" s="43">
        <f t="shared" si="3"/>
        <v>139844</v>
      </c>
      <c r="F36" s="43">
        <f t="shared" si="3"/>
        <v>18702</v>
      </c>
      <c r="G36" s="43">
        <f t="shared" si="3"/>
        <v>121142</v>
      </c>
      <c r="H36" s="43">
        <f t="shared" si="3"/>
        <v>15000</v>
      </c>
      <c r="I36" s="43">
        <f t="shared" si="3"/>
        <v>234572</v>
      </c>
    </row>
    <row r="37" spans="1:12" ht="30" customHeight="1" x14ac:dyDescent="0.25">
      <c r="A37" s="32" t="s">
        <v>1817</v>
      </c>
      <c r="D37" s="45">
        <f t="shared" ref="D37:I37" si="4">D30+D36</f>
        <v>56661</v>
      </c>
      <c r="E37" s="45">
        <f t="shared" si="4"/>
        <v>185347</v>
      </c>
      <c r="F37" s="45">
        <f t="shared" si="4"/>
        <v>24623</v>
      </c>
      <c r="G37" s="45">
        <f t="shared" si="4"/>
        <v>160724</v>
      </c>
      <c r="H37" s="45">
        <f t="shared" si="4"/>
        <v>-24085</v>
      </c>
      <c r="I37" s="45">
        <f t="shared" si="4"/>
        <v>270871</v>
      </c>
    </row>
    <row r="38" spans="1:12" x14ac:dyDescent="0.2">
      <c r="F38" s="41"/>
      <c r="G38" s="41"/>
      <c r="H38" s="41"/>
      <c r="I38" s="41"/>
    </row>
    <row r="39" spans="1:12" x14ac:dyDescent="0.2">
      <c r="B39" s="31" t="s">
        <v>2294</v>
      </c>
      <c r="D39" s="49">
        <f>D30</f>
        <v>-71039</v>
      </c>
      <c r="E39" s="49">
        <f>E30</f>
        <v>45503</v>
      </c>
      <c r="F39" s="49">
        <f>F30</f>
        <v>5921</v>
      </c>
      <c r="G39" s="49">
        <f>G30</f>
        <v>39582</v>
      </c>
      <c r="H39" s="49">
        <f>H30</f>
        <v>-39085</v>
      </c>
      <c r="I39" s="49">
        <f>I30</f>
        <v>36299</v>
      </c>
    </row>
    <row r="40" spans="1:12" x14ac:dyDescent="0.2">
      <c r="B40" s="31" t="s">
        <v>2295</v>
      </c>
      <c r="D40" s="217">
        <f>D57</f>
        <v>150000</v>
      </c>
      <c r="E40" s="217">
        <f t="shared" ref="E40:I40" si="5">E57</f>
        <v>135777</v>
      </c>
      <c r="F40" s="217">
        <f t="shared" si="5"/>
        <v>38000</v>
      </c>
      <c r="G40" s="217">
        <f t="shared" si="5"/>
        <v>97777</v>
      </c>
      <c r="H40" s="217">
        <f t="shared" si="5"/>
        <v>115000</v>
      </c>
      <c r="I40" s="217">
        <f t="shared" si="5"/>
        <v>121915</v>
      </c>
    </row>
    <row r="41" spans="1:12" ht="15.75" x14ac:dyDescent="0.25">
      <c r="B41" s="31" t="s">
        <v>2296</v>
      </c>
      <c r="D41" s="96">
        <f>SUM(D39:D40)</f>
        <v>78961</v>
      </c>
      <c r="E41" s="96">
        <f t="shared" ref="E41:I41" si="6">SUM(E39:E40)</f>
        <v>181280</v>
      </c>
      <c r="F41" s="96">
        <f t="shared" si="6"/>
        <v>43921</v>
      </c>
      <c r="G41" s="96">
        <f t="shared" si="6"/>
        <v>137359</v>
      </c>
      <c r="H41" s="96">
        <f t="shared" si="6"/>
        <v>75915</v>
      </c>
      <c r="I41" s="96">
        <f t="shared" si="6"/>
        <v>158214</v>
      </c>
    </row>
    <row r="42" spans="1:12" x14ac:dyDescent="0.2">
      <c r="B42" s="31" t="s">
        <v>2313</v>
      </c>
      <c r="D42" s="217">
        <f>D63</f>
        <v>26604</v>
      </c>
      <c r="E42" s="217">
        <f t="shared" ref="E42:I42" si="7">E63</f>
        <v>23412</v>
      </c>
      <c r="F42" s="217">
        <f t="shared" si="7"/>
        <v>0</v>
      </c>
      <c r="G42" s="217">
        <f t="shared" si="7"/>
        <v>0</v>
      </c>
      <c r="H42" s="217">
        <f t="shared" si="7"/>
        <v>23412</v>
      </c>
      <c r="I42" s="217">
        <f t="shared" si="7"/>
        <v>23412</v>
      </c>
    </row>
    <row r="43" spans="1:12" ht="15.75" x14ac:dyDescent="0.25">
      <c r="B43" s="32" t="s">
        <v>2314</v>
      </c>
      <c r="C43" s="32"/>
      <c r="D43" s="96">
        <f>D41-D42</f>
        <v>52357</v>
      </c>
      <c r="E43" s="96">
        <f t="shared" ref="E43:I43" si="8">E41-E42</f>
        <v>157868</v>
      </c>
      <c r="F43" s="96">
        <f t="shared" si="8"/>
        <v>43921</v>
      </c>
      <c r="G43" s="96">
        <f t="shared" si="8"/>
        <v>137359</v>
      </c>
      <c r="H43" s="96">
        <f t="shared" si="8"/>
        <v>52503</v>
      </c>
      <c r="I43" s="96">
        <f t="shared" si="8"/>
        <v>134802</v>
      </c>
    </row>
    <row r="45" spans="1:12" ht="15.75" x14ac:dyDescent="0.25">
      <c r="B45" s="331" t="s">
        <v>2490</v>
      </c>
      <c r="C45" s="331"/>
      <c r="D45" s="332">
        <f>222500-128100</f>
        <v>94400</v>
      </c>
      <c r="E45" s="331"/>
      <c r="F45" s="331"/>
      <c r="G45" s="331"/>
      <c r="H45" s="331"/>
      <c r="I45" s="331"/>
    </row>
    <row r="48" spans="1:12" x14ac:dyDescent="0.2">
      <c r="D48" s="217"/>
    </row>
    <row r="49" spans="2:9" x14ac:dyDescent="0.2">
      <c r="D49" s="217"/>
    </row>
    <row r="50" spans="2:9" x14ac:dyDescent="0.2">
      <c r="D50" s="217"/>
    </row>
    <row r="51" spans="2:9" x14ac:dyDescent="0.2">
      <c r="B51" s="31" t="s">
        <v>2297</v>
      </c>
      <c r="D51" s="217">
        <f>'Expenditures_Town(S.4)'!D9</f>
        <v>50000</v>
      </c>
      <c r="E51" s="217">
        <f>'Expenditures_Town(S.4)'!E9</f>
        <v>43129</v>
      </c>
      <c r="F51" s="217">
        <f>'Expenditures_Town(S.4)'!F9</f>
        <v>13000</v>
      </c>
      <c r="G51" s="217">
        <f>'Expenditures_Town(S.4)'!G9</f>
        <v>30129</v>
      </c>
      <c r="H51" s="217">
        <f>'Expenditures_Town(S.4)'!H9</f>
        <v>40000</v>
      </c>
      <c r="I51" s="217">
        <f>'Expenditures_Town(S.4)'!I9</f>
        <v>42706</v>
      </c>
    </row>
    <row r="52" spans="2:9" x14ac:dyDescent="0.2">
      <c r="B52" s="31" t="s">
        <v>2298</v>
      </c>
      <c r="D52" s="217">
        <f>'Expenditures_Town(S.4)'!D24</f>
        <v>25000</v>
      </c>
      <c r="E52" s="217">
        <f>'Expenditures_Town(S.4)'!E24</f>
        <v>24196</v>
      </c>
      <c r="F52" s="217">
        <f>'Expenditures_Town(S.4)'!F24</f>
        <v>6000</v>
      </c>
      <c r="G52" s="217">
        <f>'Expenditures_Town(S.4)'!G24</f>
        <v>18196</v>
      </c>
      <c r="H52" s="217">
        <f>'Expenditures_Town(S.4)'!H24</f>
        <v>26000</v>
      </c>
      <c r="I52" s="217">
        <f>'Expenditures_Town(S.4)'!I24</f>
        <v>24261</v>
      </c>
    </row>
    <row r="53" spans="2:9" x14ac:dyDescent="0.2">
      <c r="B53" s="31" t="s">
        <v>2299</v>
      </c>
      <c r="D53" s="217">
        <f>'Expenditures_Town(S.4)'!D60</f>
        <v>23000</v>
      </c>
      <c r="E53" s="217">
        <f>'Expenditures_Town(S.4)'!E60</f>
        <v>20250</v>
      </c>
      <c r="F53" s="217">
        <f>'Expenditures_Town(S.4)'!F60</f>
        <v>7000</v>
      </c>
      <c r="G53" s="217">
        <f>'Expenditures_Town(S.4)'!G60</f>
        <v>13250</v>
      </c>
      <c r="H53" s="217">
        <f>'Expenditures_Town(S.4)'!H60</f>
        <v>14000</v>
      </c>
      <c r="I53" s="217">
        <f>'Expenditures_Town(S.4)'!I60</f>
        <v>17667</v>
      </c>
    </row>
    <row r="54" spans="2:9" x14ac:dyDescent="0.2">
      <c r="B54" s="31" t="s">
        <v>2300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</row>
    <row r="55" spans="2:9" x14ac:dyDescent="0.2">
      <c r="B55" s="31" t="s">
        <v>2301</v>
      </c>
      <c r="D55" s="217">
        <f>'Expenditures_Town(S.4)'!D70</f>
        <v>30000</v>
      </c>
      <c r="E55" s="217">
        <f>'Expenditures_Town(S.4)'!E70</f>
        <v>28131</v>
      </c>
      <c r="F55" s="217">
        <f>'Expenditures_Town(S.4)'!F70</f>
        <v>7000</v>
      </c>
      <c r="G55" s="217">
        <f>'Expenditures_Town(S.4)'!G70</f>
        <v>21131</v>
      </c>
      <c r="H55" s="217">
        <f>'Expenditures_Town(S.4)'!H70</f>
        <v>25000</v>
      </c>
      <c r="I55" s="217">
        <f>'Expenditures_Town(S.4)'!I70</f>
        <v>28175</v>
      </c>
    </row>
    <row r="56" spans="2:9" x14ac:dyDescent="0.2">
      <c r="B56" s="31" t="s">
        <v>2302</v>
      </c>
      <c r="D56" s="217">
        <f>'Operations_Arena(S.7)'!D20</f>
        <v>22000</v>
      </c>
      <c r="E56" s="217">
        <f>'Operations_Arena(S.7)'!E20</f>
        <v>20071</v>
      </c>
      <c r="F56" s="217">
        <f>'Operations_Arena(S.7)'!F20</f>
        <v>5000</v>
      </c>
      <c r="G56" s="217">
        <f>'Operations_Arena(S.7)'!G20</f>
        <v>15071</v>
      </c>
      <c r="H56" s="217">
        <f>'Operations_Arena(S.7)'!H20</f>
        <v>10000</v>
      </c>
      <c r="I56" s="217">
        <f>'Operations_Arena(S.7)'!I20</f>
        <v>9106</v>
      </c>
    </row>
    <row r="57" spans="2:9" ht="15.75" x14ac:dyDescent="0.25">
      <c r="B57" s="31" t="s">
        <v>2303</v>
      </c>
      <c r="D57" s="218">
        <f>SUM(D51:D56)</f>
        <v>150000</v>
      </c>
      <c r="E57" s="218">
        <f t="shared" ref="E57:I57" si="9">SUM(E51:E56)</f>
        <v>135777</v>
      </c>
      <c r="F57" s="218">
        <f t="shared" si="9"/>
        <v>38000</v>
      </c>
      <c r="G57" s="218">
        <f t="shared" si="9"/>
        <v>97777</v>
      </c>
      <c r="H57" s="218">
        <f t="shared" si="9"/>
        <v>115000</v>
      </c>
      <c r="I57" s="218">
        <f t="shared" si="9"/>
        <v>121915</v>
      </c>
    </row>
    <row r="58" spans="2:9" x14ac:dyDescent="0.2">
      <c r="D58" s="217"/>
    </row>
    <row r="59" spans="2:9" x14ac:dyDescent="0.2">
      <c r="B59" s="31" t="s">
        <v>2304</v>
      </c>
      <c r="D59" s="217"/>
    </row>
    <row r="60" spans="2:9" x14ac:dyDescent="0.2">
      <c r="B60" s="31" t="s">
        <v>2305</v>
      </c>
      <c r="D60" s="217">
        <v>17196</v>
      </c>
      <c r="E60" s="31">
        <v>20004</v>
      </c>
      <c r="H60" s="31">
        <v>20004</v>
      </c>
      <c r="I60" s="31">
        <v>20004</v>
      </c>
    </row>
    <row r="61" spans="2:9" x14ac:dyDescent="0.2">
      <c r="B61" s="31" t="s">
        <v>2306</v>
      </c>
      <c r="D61" s="31">
        <v>6000</v>
      </c>
      <c r="E61" s="31">
        <v>0</v>
      </c>
      <c r="H61" s="31">
        <v>0</v>
      </c>
      <c r="I61" s="31">
        <v>0</v>
      </c>
    </row>
    <row r="62" spans="2:9" x14ac:dyDescent="0.2">
      <c r="B62" s="31" t="s">
        <v>2307</v>
      </c>
      <c r="D62" s="31">
        <v>3408</v>
      </c>
      <c r="E62" s="31">
        <v>3408</v>
      </c>
      <c r="H62" s="31">
        <v>3408</v>
      </c>
      <c r="I62" s="31">
        <v>3408</v>
      </c>
    </row>
    <row r="63" spans="2:9" ht="15.75" x14ac:dyDescent="0.25">
      <c r="D63" s="218">
        <f>SUM(D60:D62)</f>
        <v>26604</v>
      </c>
      <c r="E63" s="218">
        <f t="shared" ref="E63:I63" si="10">SUM(E60:E62)</f>
        <v>23412</v>
      </c>
      <c r="F63" s="218">
        <f t="shared" si="10"/>
        <v>0</v>
      </c>
      <c r="G63" s="218">
        <f t="shared" si="10"/>
        <v>0</v>
      </c>
      <c r="H63" s="218">
        <f t="shared" si="10"/>
        <v>23412</v>
      </c>
      <c r="I63" s="218">
        <f t="shared" si="10"/>
        <v>23412</v>
      </c>
    </row>
  </sheetData>
  <pageMargins left="0" right="0" top="0.15748031496062992" bottom="0.15748031496062992" header="0.11811023622047245" footer="0.11811023622047245"/>
  <pageSetup scale="92" orientation="portrait" r:id="rId1"/>
  <headerFooter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Town_Sage</vt:lpstr>
      <vt:lpstr>Utility</vt:lpstr>
      <vt:lpstr>Arena_Sage</vt:lpstr>
      <vt:lpstr>Notes</vt:lpstr>
      <vt:lpstr>Database</vt:lpstr>
      <vt:lpstr>Consolidated Sta(Operation)</vt:lpstr>
      <vt:lpstr>Expenditures_Town(S.4)</vt:lpstr>
      <vt:lpstr>Revenues_Town </vt:lpstr>
      <vt:lpstr>Operations_Town(S.3)</vt:lpstr>
      <vt:lpstr>Operations_Sewerage(S.5)</vt:lpstr>
      <vt:lpstr>Operations_Water(S.6)</vt:lpstr>
      <vt:lpstr>Operations_Arena(S.7)</vt:lpstr>
      <vt:lpstr>Utility Share</vt:lpstr>
      <vt:lpstr>Fire Service</vt:lpstr>
      <vt:lpstr>Assessment</vt:lpstr>
      <vt:lpstr>Capital 5 year</vt:lpstr>
      <vt:lpstr>Capital 1 year</vt:lpstr>
      <vt:lpstr>Assessment!Print_Area</vt:lpstr>
      <vt:lpstr>'Capital 1 year'!Print_Area</vt:lpstr>
      <vt:lpstr>'Capital 5 year'!Print_Area</vt:lpstr>
      <vt:lpstr>'Consolidated Sta(Operation)'!Print_Area</vt:lpstr>
      <vt:lpstr>Database!Print_Area</vt:lpstr>
      <vt:lpstr>'Expenditures_Town(S.4)'!Print_Area</vt:lpstr>
      <vt:lpstr>'Operations_Arena(S.7)'!Print_Area</vt:lpstr>
      <vt:lpstr>'Operations_Sewerage(S.5)'!Print_Area</vt:lpstr>
      <vt:lpstr>'Operations_Town(S.3)'!Print_Area</vt:lpstr>
      <vt:lpstr>'Operations_Water(S.6)'!Print_Area</vt:lpstr>
      <vt:lpstr>'Capital 1 year'!Print_Titles</vt:lpstr>
      <vt:lpstr>'Capital 5 year'!Print_Titles</vt:lpstr>
      <vt:lpstr>Database!Print_Titles</vt:lpstr>
      <vt:lpstr>'Expenditures_Town(S.4)'!Print_Titles</vt:lpstr>
      <vt:lpstr>'Operations_Arena(S.7)'!Print_Titles</vt:lpstr>
      <vt:lpstr>'Operations_Sewerage(S.5)'!Print_Titles</vt:lpstr>
      <vt:lpstr>'Operations_Town(S.3)'!Print_Titles</vt:lpstr>
      <vt:lpstr>'Operations_Water(S.6)'!Print_Titles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Burge</dc:creator>
  <cp:lastModifiedBy>Borden Carleton Admin</cp:lastModifiedBy>
  <cp:lastPrinted>2024-03-25T19:01:52Z</cp:lastPrinted>
  <dcterms:created xsi:type="dcterms:W3CDTF">2023-09-01T11:59:02Z</dcterms:created>
  <dcterms:modified xsi:type="dcterms:W3CDTF">2024-03-26T16:09:32Z</dcterms:modified>
</cp:coreProperties>
</file>