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dmin\Desktop\Jim\Budget Info\Budget 2023-24\"/>
    </mc:Choice>
  </mc:AlternateContent>
  <xr:revisionPtr revIDLastSave="0" documentId="13_ncr:1_{28998A05-74B8-4404-93DE-99D01D4F9560}" xr6:coauthVersionLast="47" xr6:coauthVersionMax="47" xr10:uidLastSave="{00000000-0000-0000-0000-000000000000}"/>
  <bookViews>
    <workbookView xWindow="-120" yWindow="-120" windowWidth="20640" windowHeight="11040" firstSheet="1" activeTab="5" xr2:uid="{00000000-000D-0000-FFFF-FFFF00000000}"/>
  </bookViews>
  <sheets>
    <sheet name="Notes 22-23" sheetId="15" r:id="rId1"/>
    <sheet name="TOWN" sheetId="1" r:id="rId2"/>
    <sheet name="REvenue" sheetId="14" r:id="rId3"/>
    <sheet name="BOTTLINE" sheetId="13" r:id="rId4"/>
    <sheet name="CAPITALYR1" sheetId="12" r:id="rId5"/>
    <sheet name="WATER" sheetId="2" r:id="rId6"/>
    <sheet name="SEWER" sheetId="3" r:id="rId7"/>
    <sheet name="5yr CAPITAL" sheetId="9" r:id="rId8"/>
    <sheet name="NOTES" sheetId="7" r:id="rId9"/>
    <sheet name="fire" sheetId="8" r:id="rId10"/>
    <sheet name="FIRE-3 yrs" sheetId="10" r:id="rId11"/>
    <sheet name="GG-Map" sheetId="11" r:id="rId12"/>
    <sheet name="Sheet1" sheetId="16" r:id="rId13"/>
  </sheets>
  <definedNames>
    <definedName name="_xlnm.Print_Area" localSheetId="7">'5yr CAPITAL'!$A$8:$L$94</definedName>
    <definedName name="_xlnm.Print_Area" localSheetId="4">CAPITALYR1!$A$8:$H$85</definedName>
    <definedName name="_xlnm.Print_Area" localSheetId="9">fire!$A$2:$I$72</definedName>
    <definedName name="_xlnm.Print_Area" localSheetId="10">'FIRE-3 yrs'!$A$3:$F$43</definedName>
    <definedName name="_xlnm.Print_Area" localSheetId="11">'GG-Map'!$K$1:$O$76</definedName>
    <definedName name="_xlnm.Print_Area" localSheetId="8">NOTES!$E$38:$G$78</definedName>
    <definedName name="_xlnm.Print_Area" localSheetId="0">'Notes 22-23'!$A$1:$B$43</definedName>
    <definedName name="_xlnm.Print_Area" localSheetId="2">REvenue!$A$1:$E$55</definedName>
    <definedName name="_xlnm.Print_Area" localSheetId="6">SEWER!$A$1:$E$47</definedName>
    <definedName name="_xlnm.Print_Area" localSheetId="1">TOWN!$A$7:$G$224</definedName>
    <definedName name="_xlnm.Print_Area" localSheetId="5">WATER!$A$1:$E$47</definedName>
    <definedName name="_xlnm.Print_Titles" localSheetId="7">'5yr CAPITAL'!$2:$7</definedName>
    <definedName name="_xlnm.Print_Titles" localSheetId="4">CAPITALYR1!$2:$7</definedName>
    <definedName name="_xlnm.Print_Titles" localSheetId="9">fire!$3:$5</definedName>
    <definedName name="_xlnm.Print_Titles" localSheetId="1">TOWN!$2:$7</definedName>
  </definedNames>
  <calcPr calcId="191029"/>
</workbook>
</file>

<file path=xl/calcChain.xml><?xml version="1.0" encoding="utf-8"?>
<calcChain xmlns="http://schemas.openxmlformats.org/spreadsheetml/2006/main">
  <c r="D39" i="9" l="1"/>
  <c r="R9" i="1"/>
  <c r="V19" i="1" l="1"/>
  <c r="V21" i="1" s="1"/>
  <c r="D95" i="12"/>
  <c r="E95" i="12" s="1"/>
  <c r="G83" i="12"/>
  <c r="F83" i="12"/>
  <c r="I83" i="12" s="1"/>
  <c r="D82" i="12"/>
  <c r="E82" i="12" s="1"/>
  <c r="D81" i="12"/>
  <c r="E81" i="12" s="1"/>
  <c r="D80" i="12"/>
  <c r="E80" i="12" s="1"/>
  <c r="D76" i="12"/>
  <c r="E76" i="12" s="1"/>
  <c r="D75" i="12"/>
  <c r="E75" i="12" s="1"/>
  <c r="D74" i="12"/>
  <c r="E74" i="12" s="1"/>
  <c r="D73" i="12"/>
  <c r="E73" i="12" s="1"/>
  <c r="E72" i="12"/>
  <c r="D71" i="12"/>
  <c r="E71" i="12" s="1"/>
  <c r="D69" i="12"/>
  <c r="E69" i="12" s="1"/>
  <c r="D68" i="12"/>
  <c r="E68" i="12" s="1"/>
  <c r="D67" i="12"/>
  <c r="E67" i="12" s="1"/>
  <c r="D66" i="12"/>
  <c r="E66" i="12" s="1"/>
  <c r="D65" i="12"/>
  <c r="G60" i="12"/>
  <c r="I60" i="12" s="1"/>
  <c r="F60" i="12"/>
  <c r="D59" i="12"/>
  <c r="E59" i="12" s="1"/>
  <c r="D58" i="12"/>
  <c r="E58" i="12" s="1"/>
  <c r="D57" i="12"/>
  <c r="E57" i="12" s="1"/>
  <c r="D56" i="12"/>
  <c r="E56" i="12" s="1"/>
  <c r="D55" i="12"/>
  <c r="E55" i="12" s="1"/>
  <c r="D54" i="12"/>
  <c r="E54" i="12" s="1"/>
  <c r="G50" i="12"/>
  <c r="F50" i="12"/>
  <c r="I50" i="12" s="1"/>
  <c r="D45" i="12"/>
  <c r="E45" i="12" s="1"/>
  <c r="D44" i="12"/>
  <c r="E44" i="12" s="1"/>
  <c r="D43" i="12"/>
  <c r="E43" i="12" s="1"/>
  <c r="D40" i="12"/>
  <c r="E40" i="12" s="1"/>
  <c r="D37" i="12"/>
  <c r="E37" i="12" s="1"/>
  <c r="D36" i="12"/>
  <c r="E36" i="12" s="1"/>
  <c r="D35" i="12"/>
  <c r="E35" i="12" s="1"/>
  <c r="D34" i="12"/>
  <c r="E34" i="12" s="1"/>
  <c r="D33" i="12"/>
  <c r="E33" i="12" s="1"/>
  <c r="D32" i="12"/>
  <c r="E32" i="12" s="1"/>
  <c r="D31" i="12"/>
  <c r="E31" i="12" s="1"/>
  <c r="D26" i="12"/>
  <c r="E26" i="12" s="1"/>
  <c r="D25" i="12"/>
  <c r="E25" i="12" s="1"/>
  <c r="D24" i="12"/>
  <c r="E24" i="12" s="1"/>
  <c r="D23" i="12"/>
  <c r="E23" i="12" s="1"/>
  <c r="D20" i="12"/>
  <c r="E20" i="12" s="1"/>
  <c r="D17" i="12"/>
  <c r="E17" i="12" s="1"/>
  <c r="D16" i="12"/>
  <c r="E16" i="12" s="1"/>
  <c r="D14" i="12"/>
  <c r="E14" i="12" s="1"/>
  <c r="D11" i="12"/>
  <c r="E11" i="12" s="1"/>
  <c r="D10" i="12"/>
  <c r="L92" i="9"/>
  <c r="L69" i="9"/>
  <c r="L55" i="9"/>
  <c r="L71" i="9" s="1"/>
  <c r="D64" i="9"/>
  <c r="E64" i="9" s="1"/>
  <c r="D67" i="9"/>
  <c r="E67" i="9" s="1"/>
  <c r="D66" i="9"/>
  <c r="E66" i="9" s="1"/>
  <c r="F62" i="12" l="1"/>
  <c r="D83" i="12"/>
  <c r="G62" i="12"/>
  <c r="G85" i="12" s="1"/>
  <c r="E65" i="12"/>
  <c r="E83" i="12" s="1"/>
  <c r="D50" i="12"/>
  <c r="D60" i="12"/>
  <c r="E10" i="12"/>
  <c r="E50" i="12" s="1"/>
  <c r="E60" i="12"/>
  <c r="F85" i="12" l="1"/>
  <c r="I85" i="12" s="1"/>
  <c r="I62" i="12"/>
  <c r="D62" i="12"/>
  <c r="D85" i="12" s="1"/>
  <c r="E62" i="12"/>
  <c r="E85" i="12" s="1"/>
  <c r="D43" i="9" l="1"/>
  <c r="E43" i="9" s="1"/>
  <c r="D40" i="9"/>
  <c r="E40" i="9" s="1"/>
  <c r="D65" i="9"/>
  <c r="E65" i="9" s="1"/>
  <c r="D63" i="9"/>
  <c r="D29" i="9"/>
  <c r="D28" i="9"/>
  <c r="E28" i="9" s="1"/>
  <c r="D27" i="9"/>
  <c r="C45" i="3"/>
  <c r="C34" i="3"/>
  <c r="C39" i="3"/>
  <c r="C45" i="2"/>
  <c r="C23" i="3"/>
  <c r="C32" i="3" s="1"/>
  <c r="C16" i="3"/>
  <c r="C16" i="2"/>
  <c r="C32" i="2"/>
  <c r="E263" i="1"/>
  <c r="E249" i="1"/>
  <c r="E256" i="1" s="1"/>
  <c r="L94" i="9"/>
  <c r="D85" i="9"/>
  <c r="E85" i="9" s="1"/>
  <c r="D84" i="9"/>
  <c r="E84" i="9" s="1"/>
  <c r="D83" i="9"/>
  <c r="E83" i="9" s="1"/>
  <c r="D82" i="9"/>
  <c r="E82" i="9" s="1"/>
  <c r="E81" i="9"/>
  <c r="D49" i="9"/>
  <c r="D48" i="9"/>
  <c r="D16" i="9"/>
  <c r="D17" i="9"/>
  <c r="D19" i="9"/>
  <c r="D22" i="9"/>
  <c r="C47" i="3" l="1"/>
  <c r="C34" i="2"/>
  <c r="C39" i="2" s="1"/>
  <c r="C47" i="2" s="1"/>
  <c r="L104" i="1"/>
  <c r="E235" i="1"/>
  <c r="E241" i="1" s="1"/>
  <c r="E258" i="1"/>
  <c r="E265" i="1" s="1"/>
  <c r="M6" i="1" l="1"/>
  <c r="E117" i="1" l="1"/>
  <c r="E151" i="1"/>
  <c r="E162" i="1"/>
  <c r="E164" i="1" s="1"/>
  <c r="E166" i="1" s="1"/>
  <c r="E174" i="1"/>
  <c r="E182" i="1"/>
  <c r="E188" i="1"/>
  <c r="I123" i="1"/>
  <c r="E190" i="1" l="1"/>
  <c r="E76" i="1"/>
  <c r="O30" i="11" l="1"/>
  <c r="E127" i="1"/>
  <c r="E134" i="1"/>
  <c r="E144" i="1" s="1"/>
  <c r="O108" i="1"/>
  <c r="E68" i="1"/>
  <c r="E79" i="1" s="1"/>
  <c r="E81" i="1" s="1"/>
  <c r="E221" i="1"/>
  <c r="E213" i="1"/>
  <c r="E96" i="1"/>
  <c r="F34" i="15"/>
  <c r="F33" i="15"/>
  <c r="F32" i="15"/>
  <c r="F36" i="15" s="1"/>
  <c r="F35" i="15"/>
  <c r="E86" i="1"/>
  <c r="E103" i="1" l="1"/>
  <c r="K104" i="1" s="1"/>
  <c r="E198" i="1"/>
  <c r="F23" i="1"/>
  <c r="E52" i="1"/>
  <c r="E37" i="1"/>
  <c r="T65" i="14"/>
  <c r="U151" i="14"/>
  <c r="T151" i="14"/>
  <c r="S151" i="14"/>
  <c r="R151" i="14"/>
  <c r="E200" i="1" l="1"/>
  <c r="E27" i="1"/>
  <c r="E54" i="1" s="1"/>
  <c r="V9" i="1"/>
  <c r="V11" i="1" s="1"/>
  <c r="E203" i="1" l="1"/>
  <c r="E215" i="1" s="1"/>
  <c r="E223" i="1" s="1"/>
  <c r="L13" i="14"/>
  <c r="K13" i="14"/>
  <c r="M10" i="14"/>
  <c r="L10" i="14"/>
  <c r="K10" i="14"/>
  <c r="D55" i="14" l="1"/>
  <c r="E55" i="14"/>
  <c r="D45" i="14"/>
  <c r="E45" i="14"/>
  <c r="D37" i="14"/>
  <c r="E37" i="14"/>
  <c r="D33" i="14"/>
  <c r="E33" i="14"/>
  <c r="D19" i="14"/>
  <c r="E19" i="14"/>
  <c r="E13" i="14"/>
  <c r="D13" i="14"/>
  <c r="N302" i="1" l="1"/>
  <c r="M302" i="1"/>
  <c r="L52" i="2"/>
  <c r="I52" i="2"/>
  <c r="E45" i="2"/>
  <c r="D45" i="2"/>
  <c r="H60" i="3"/>
  <c r="G60" i="3"/>
  <c r="L60" i="3" s="1"/>
  <c r="L59" i="3"/>
  <c r="I59" i="3"/>
  <c r="F59" i="3"/>
  <c r="L58" i="3"/>
  <c r="I58" i="3"/>
  <c r="F58" i="3"/>
  <c r="L57" i="3"/>
  <c r="I57" i="3"/>
  <c r="F57" i="3"/>
  <c r="L56" i="3"/>
  <c r="I56" i="3"/>
  <c r="F56" i="3"/>
  <c r="L55" i="3"/>
  <c r="I55" i="3"/>
  <c r="F55" i="3"/>
  <c r="L54" i="3"/>
  <c r="I54" i="3"/>
  <c r="F54" i="3"/>
  <c r="L53" i="3"/>
  <c r="I53" i="3"/>
  <c r="F53" i="3"/>
  <c r="L52" i="3"/>
  <c r="H55" i="2"/>
  <c r="G55" i="2"/>
  <c r="L55" i="2" s="1"/>
  <c r="L54" i="2"/>
  <c r="I54" i="2"/>
  <c r="F54" i="2"/>
  <c r="L53" i="2"/>
  <c r="I53" i="2"/>
  <c r="F53" i="2"/>
  <c r="L51" i="2"/>
  <c r="D45" i="3"/>
  <c r="E45" i="3"/>
  <c r="K69" i="9"/>
  <c r="K55" i="9"/>
  <c r="E32" i="3"/>
  <c r="D32" i="3"/>
  <c r="D89" i="9"/>
  <c r="E89" i="9" s="1"/>
  <c r="G32" i="2"/>
  <c r="F32" i="2"/>
  <c r="E32" i="2"/>
  <c r="D32" i="2"/>
  <c r="E16" i="2"/>
  <c r="D16" i="2"/>
  <c r="F11" i="2"/>
  <c r="F16" i="2" s="1"/>
  <c r="D16" i="3"/>
  <c r="F11" i="3"/>
  <c r="F16" i="3" s="1"/>
  <c r="G16" i="2"/>
  <c r="G13" i="7"/>
  <c r="F13" i="7"/>
  <c r="K12" i="7"/>
  <c r="J12" i="7"/>
  <c r="K11" i="7"/>
  <c r="J11" i="7"/>
  <c r="L11" i="7" s="1"/>
  <c r="K10" i="7"/>
  <c r="J10" i="7"/>
  <c r="K71" i="9" l="1"/>
  <c r="H13" i="7"/>
  <c r="L12" i="7"/>
  <c r="K13" i="7"/>
  <c r="L13" i="7" s="1"/>
  <c r="I60" i="3"/>
  <c r="D34" i="3"/>
  <c r="D39" i="3" s="1"/>
  <c r="D47" i="3" s="1"/>
  <c r="I55" i="2"/>
  <c r="D34" i="2"/>
  <c r="D39" i="2" s="1"/>
  <c r="D47" i="2" s="1"/>
  <c r="G34" i="2"/>
  <c r="E34" i="2"/>
  <c r="E39" i="2" s="1"/>
  <c r="E47" i="2" s="1"/>
  <c r="J13" i="7"/>
  <c r="L10" i="7"/>
  <c r="C13" i="13" l="1"/>
  <c r="C16" i="13" s="1"/>
  <c r="C19" i="13" s="1"/>
  <c r="F10" i="13"/>
  <c r="F13" i="13" s="1"/>
  <c r="F16" i="13" s="1"/>
  <c r="F19" i="13" s="1"/>
  <c r="E10" i="13"/>
  <c r="E13" i="13" s="1"/>
  <c r="E16" i="13" s="1"/>
  <c r="E19" i="13" s="1"/>
  <c r="D10" i="13"/>
  <c r="D13" i="13" s="1"/>
  <c r="D16" i="13" s="1"/>
  <c r="D19" i="13" s="1"/>
  <c r="C10" i="13"/>
  <c r="E49" i="9"/>
  <c r="K92" i="9"/>
  <c r="J92" i="9"/>
  <c r="I92" i="9"/>
  <c r="H92" i="9"/>
  <c r="G92" i="9"/>
  <c r="F92" i="9"/>
  <c r="D60" i="9"/>
  <c r="E60" i="9" s="1"/>
  <c r="D59" i="9"/>
  <c r="E59" i="9" s="1"/>
  <c r="E63" i="9"/>
  <c r="J69" i="9"/>
  <c r="I69" i="9"/>
  <c r="H69" i="9"/>
  <c r="G69" i="9"/>
  <c r="F69" i="9"/>
  <c r="M69" i="9" s="1"/>
  <c r="D18" i="9"/>
  <c r="E18" i="9" s="1"/>
  <c r="E22" i="9"/>
  <c r="F263" i="1"/>
  <c r="F256" i="1"/>
  <c r="F258" i="1" s="1"/>
  <c r="F235" i="1"/>
  <c r="F241" i="1" s="1"/>
  <c r="F221" i="1"/>
  <c r="F213" i="1"/>
  <c r="F198" i="1"/>
  <c r="F188" i="1"/>
  <c r="F182" i="1"/>
  <c r="F174" i="1"/>
  <c r="F162" i="1"/>
  <c r="F164" i="1" s="1"/>
  <c r="F166" i="1" s="1"/>
  <c r="F151" i="1"/>
  <c r="F144" i="1"/>
  <c r="F127" i="1"/>
  <c r="F115" i="1"/>
  <c r="F117" i="1" s="1"/>
  <c r="F103" i="1"/>
  <c r="F86" i="1"/>
  <c r="F76" i="1"/>
  <c r="F79" i="1" s="1"/>
  <c r="F81" i="1" s="1"/>
  <c r="F52" i="1"/>
  <c r="F37" i="1"/>
  <c r="F27" i="1"/>
  <c r="I261" i="1"/>
  <c r="I260" i="1"/>
  <c r="I252" i="1"/>
  <c r="I249" i="1"/>
  <c r="I239" i="1"/>
  <c r="I232" i="1"/>
  <c r="I235" i="1" s="1"/>
  <c r="I213" i="1"/>
  <c r="I198" i="1"/>
  <c r="I188" i="1"/>
  <c r="I180" i="1"/>
  <c r="I182" i="1" s="1"/>
  <c r="I171" i="1"/>
  <c r="I174" i="1" s="1"/>
  <c r="I161" i="1"/>
  <c r="I162" i="1" s="1"/>
  <c r="I164" i="1" s="1"/>
  <c r="I166" i="1" s="1"/>
  <c r="I151" i="1"/>
  <c r="I140" i="1"/>
  <c r="I132" i="1"/>
  <c r="I124" i="1"/>
  <c r="I127" i="1" s="1"/>
  <c r="I112" i="1"/>
  <c r="I117" i="1" s="1"/>
  <c r="I103" i="1"/>
  <c r="I86" i="1"/>
  <c r="I76" i="1"/>
  <c r="I79" i="1" s="1"/>
  <c r="I81" i="1" s="1"/>
  <c r="I43" i="1"/>
  <c r="I40" i="1"/>
  <c r="I31" i="1"/>
  <c r="I37" i="1" s="1"/>
  <c r="I17" i="1"/>
  <c r="I20" i="1"/>
  <c r="I23" i="1"/>
  <c r="I22" i="1"/>
  <c r="I17" i="7"/>
  <c r="G23" i="7"/>
  <c r="G22" i="7"/>
  <c r="F265" i="1" l="1"/>
  <c r="F54" i="1"/>
  <c r="F190" i="1"/>
  <c r="F200" i="1" s="1"/>
  <c r="I144" i="1"/>
  <c r="I27" i="1"/>
  <c r="I52" i="1"/>
  <c r="I256" i="1"/>
  <c r="I258" i="1" s="1"/>
  <c r="I263" i="1"/>
  <c r="I190" i="1"/>
  <c r="I241" i="1"/>
  <c r="I219" i="1" s="1"/>
  <c r="I221" i="1" s="1"/>
  <c r="F203" i="1" l="1"/>
  <c r="F215" i="1" s="1"/>
  <c r="F223" i="1" s="1"/>
  <c r="I200" i="1"/>
  <c r="I54" i="1"/>
  <c r="I265" i="1"/>
  <c r="H213" i="1"/>
  <c r="G213" i="1"/>
  <c r="G79" i="1"/>
  <c r="K13" i="1"/>
  <c r="I203" i="1" l="1"/>
  <c r="I215" i="1" s="1"/>
  <c r="I223" i="1" s="1"/>
  <c r="I44" i="8"/>
  <c r="I34" i="8"/>
  <c r="I26" i="8"/>
  <c r="I11" i="8"/>
  <c r="I17" i="8"/>
  <c r="H93" i="1"/>
  <c r="H256" i="1"/>
  <c r="G256" i="1"/>
  <c r="H76" i="1"/>
  <c r="H79" i="1" s="1"/>
  <c r="L39" i="1" l="1"/>
  <c r="H263" i="1"/>
  <c r="G263" i="1"/>
  <c r="N260" i="1"/>
  <c r="H258" i="1"/>
  <c r="G258" i="1"/>
  <c r="P248" i="1"/>
  <c r="O248" i="1"/>
  <c r="N248" i="1"/>
  <c r="M248" i="1"/>
  <c r="H117" i="1"/>
  <c r="G117" i="1"/>
  <c r="H38" i="8"/>
  <c r="H34" i="8"/>
  <c r="H26" i="8"/>
  <c r="H17" i="8"/>
  <c r="H11" i="8"/>
  <c r="L108" i="1"/>
  <c r="M108" i="1" s="1"/>
  <c r="H265" i="1" l="1"/>
  <c r="G265" i="1"/>
  <c r="O37" i="11" l="1"/>
  <c r="N37" i="11"/>
  <c r="O23" i="11"/>
  <c r="N23" i="11"/>
  <c r="O18" i="11"/>
  <c r="N18" i="11"/>
  <c r="N31" i="1" l="1"/>
  <c r="N21" i="1"/>
  <c r="H127" i="1" l="1"/>
  <c r="G127" i="1"/>
  <c r="G54" i="8" l="1"/>
  <c r="N58" i="11" l="1"/>
  <c r="O58" i="11"/>
  <c r="N6" i="1"/>
  <c r="P6" i="1"/>
  <c r="O6" i="1"/>
  <c r="Q6" i="1"/>
  <c r="H221" i="1" l="1"/>
  <c r="G221" i="1"/>
  <c r="H198" i="1"/>
  <c r="G198" i="1"/>
  <c r="H188" i="1"/>
  <c r="G188" i="1"/>
  <c r="H182" i="1"/>
  <c r="G182" i="1"/>
  <c r="H174" i="1"/>
  <c r="G174" i="1"/>
  <c r="H162" i="1"/>
  <c r="H164" i="1" s="1"/>
  <c r="H166" i="1" s="1"/>
  <c r="G162" i="1"/>
  <c r="G164" i="1" s="1"/>
  <c r="G166" i="1" s="1"/>
  <c r="H151" i="1"/>
  <c r="G151" i="1"/>
  <c r="H144" i="1"/>
  <c r="G144" i="1"/>
  <c r="H103" i="1"/>
  <c r="G103" i="1"/>
  <c r="H81" i="1"/>
  <c r="G81" i="1"/>
  <c r="L241" i="1"/>
  <c r="G190" i="1" l="1"/>
  <c r="H190" i="1"/>
  <c r="N162" i="1" l="1"/>
  <c r="P160" i="1"/>
  <c r="H86" i="1"/>
  <c r="H200" i="1" s="1"/>
  <c r="G86" i="1"/>
  <c r="G200" i="1" s="1"/>
  <c r="M58" i="11"/>
  <c r="M37" i="11"/>
  <c r="M30" i="11"/>
  <c r="M23" i="11"/>
  <c r="M18" i="11"/>
  <c r="M45" i="11"/>
  <c r="M47" i="11" s="1"/>
  <c r="G503" i="11"/>
  <c r="H235" i="1"/>
  <c r="H241" i="1" s="1"/>
  <c r="G235" i="1"/>
  <c r="G241" i="1" s="1"/>
  <c r="H549" i="11"/>
  <c r="G549" i="11"/>
  <c r="H538" i="11"/>
  <c r="G538" i="11"/>
  <c r="H528" i="11"/>
  <c r="G528" i="11"/>
  <c r="H514" i="11"/>
  <c r="G514" i="11"/>
  <c r="H498" i="11"/>
  <c r="G498" i="11"/>
  <c r="H420" i="11"/>
  <c r="G420" i="11"/>
  <c r="H415" i="11"/>
  <c r="G415" i="11"/>
  <c r="H395" i="11"/>
  <c r="G395" i="11"/>
  <c r="H370" i="11"/>
  <c r="G370" i="11"/>
  <c r="H357" i="11"/>
  <c r="G357" i="11"/>
  <c r="H352" i="11"/>
  <c r="G352" i="11"/>
  <c r="H337" i="11"/>
  <c r="G337" i="11"/>
  <c r="H317" i="11"/>
  <c r="G317" i="11"/>
  <c r="H303" i="11"/>
  <c r="G303" i="11"/>
  <c r="H292" i="11"/>
  <c r="G292" i="11"/>
  <c r="H278" i="11"/>
  <c r="G278" i="11"/>
  <c r="H260" i="11"/>
  <c r="G260" i="11"/>
  <c r="H236" i="11"/>
  <c r="G236" i="11"/>
  <c r="H210" i="11"/>
  <c r="G210" i="11"/>
  <c r="H190" i="11"/>
  <c r="G190" i="11"/>
  <c r="H162" i="11"/>
  <c r="G162" i="11"/>
  <c r="H110" i="11"/>
  <c r="G110" i="11"/>
  <c r="H76" i="11"/>
  <c r="G76" i="11"/>
  <c r="H66" i="11"/>
  <c r="G66" i="11"/>
  <c r="H61" i="11"/>
  <c r="G61" i="11"/>
  <c r="H43" i="11"/>
  <c r="G43" i="11"/>
  <c r="H25" i="11"/>
  <c r="G25" i="11"/>
  <c r="M67" i="1"/>
  <c r="N67" i="1" s="1"/>
  <c r="M11" i="11"/>
  <c r="H52" i="1" l="1"/>
  <c r="G52" i="1"/>
  <c r="H37" i="1"/>
  <c r="G37" i="1"/>
  <c r="G15" i="1"/>
  <c r="J22" i="1"/>
  <c r="H27" i="1" l="1"/>
  <c r="H54" i="1" s="1"/>
  <c r="K94" i="9"/>
  <c r="J55" i="9"/>
  <c r="J71" i="9" s="1"/>
  <c r="J94" i="9" s="1"/>
  <c r="I55" i="9"/>
  <c r="I71" i="9" s="1"/>
  <c r="I94" i="9" s="1"/>
  <c r="H55" i="9"/>
  <c r="H71" i="9" s="1"/>
  <c r="H94" i="9" s="1"/>
  <c r="G55" i="9"/>
  <c r="G71" i="9" s="1"/>
  <c r="G94" i="9" s="1"/>
  <c r="F55" i="9"/>
  <c r="E48" i="9"/>
  <c r="D91" i="9"/>
  <c r="E91" i="9" s="1"/>
  <c r="D90" i="9"/>
  <c r="E90" i="9" s="1"/>
  <c r="D80" i="9"/>
  <c r="E80" i="9" s="1"/>
  <c r="D78" i="9"/>
  <c r="E78" i="9" s="1"/>
  <c r="D77" i="9"/>
  <c r="E77" i="9" s="1"/>
  <c r="D76" i="9"/>
  <c r="E76" i="9" s="1"/>
  <c r="D104" i="9"/>
  <c r="E104" i="9" s="1"/>
  <c r="D75" i="9"/>
  <c r="E75" i="9" s="1"/>
  <c r="D74" i="9"/>
  <c r="D62" i="9"/>
  <c r="E62" i="9" s="1"/>
  <c r="D61" i="9"/>
  <c r="E61" i="9" s="1"/>
  <c r="D53" i="9"/>
  <c r="E53" i="9" s="1"/>
  <c r="E39" i="9"/>
  <c r="D38" i="9"/>
  <c r="E38" i="9" s="1"/>
  <c r="D37" i="9"/>
  <c r="E37" i="9" s="1"/>
  <c r="D36" i="9"/>
  <c r="E36" i="9" s="1"/>
  <c r="D35" i="9"/>
  <c r="E35" i="9" s="1"/>
  <c r="D34" i="9"/>
  <c r="E34" i="9" s="1"/>
  <c r="E29" i="9"/>
  <c r="E27" i="9"/>
  <c r="D25" i="9"/>
  <c r="E25" i="9" s="1"/>
  <c r="E19" i="9"/>
  <c r="E17" i="9"/>
  <c r="E16" i="9"/>
  <c r="D14" i="9"/>
  <c r="E14" i="9" s="1"/>
  <c r="D11" i="9"/>
  <c r="E11" i="9" s="1"/>
  <c r="D10" i="9"/>
  <c r="E10" i="9" s="1"/>
  <c r="F71" i="9" l="1"/>
  <c r="F94" i="9" s="1"/>
  <c r="M55" i="9"/>
  <c r="E74" i="9"/>
  <c r="D92" i="9"/>
  <c r="D69" i="9"/>
  <c r="E69" i="9"/>
  <c r="D55" i="9"/>
  <c r="E55" i="9"/>
  <c r="H203" i="1"/>
  <c r="C43" i="10"/>
  <c r="F32" i="10"/>
  <c r="D32" i="10"/>
  <c r="E92" i="9" l="1"/>
  <c r="D71" i="9"/>
  <c r="D94" i="9" s="1"/>
  <c r="E71" i="9"/>
  <c r="H215" i="1"/>
  <c r="H223" i="1" s="1"/>
  <c r="E30" i="10"/>
  <c r="E32" i="10" s="1"/>
  <c r="F18" i="10"/>
  <c r="F23" i="10" s="1"/>
  <c r="F28" i="10" s="1"/>
  <c r="E18" i="10"/>
  <c r="E23" i="10" s="1"/>
  <c r="E28" i="10" s="1"/>
  <c r="D18" i="10"/>
  <c r="D23" i="10" s="1"/>
  <c r="D28" i="10" s="1"/>
  <c r="E94" i="9" l="1"/>
  <c r="O3" i="9"/>
  <c r="P13" i="9"/>
  <c r="H66" i="8" l="1"/>
  <c r="G66" i="8"/>
  <c r="K20" i="8"/>
  <c r="M16" i="8"/>
  <c r="M17" i="8" s="1"/>
  <c r="K16" i="8"/>
  <c r="K17" i="8" s="1"/>
  <c r="M13" i="8"/>
  <c r="M14" i="8" s="1"/>
  <c r="L13" i="8"/>
  <c r="L14" i="8" s="1"/>
  <c r="K13" i="8"/>
  <c r="K14" i="8" s="1"/>
  <c r="J13" i="8"/>
  <c r="H63" i="8"/>
  <c r="H44" i="8"/>
  <c r="J41" i="8"/>
  <c r="J40" i="8"/>
  <c r="G61" i="8"/>
  <c r="G65" i="8" s="1"/>
  <c r="F63" i="8"/>
  <c r="F47" i="8"/>
  <c r="E47" i="8"/>
  <c r="F44" i="8"/>
  <c r="E44" i="8"/>
  <c r="F38" i="8"/>
  <c r="E38" i="8"/>
  <c r="F34" i="8"/>
  <c r="E34" i="8"/>
  <c r="F29" i="8"/>
  <c r="E29" i="8"/>
  <c r="F26" i="8"/>
  <c r="E26" i="8"/>
  <c r="F20" i="8"/>
  <c r="E20" i="8"/>
  <c r="F17" i="8"/>
  <c r="E17" i="8"/>
  <c r="F7" i="8"/>
  <c r="E7" i="8"/>
  <c r="F11" i="8"/>
  <c r="E11" i="8"/>
  <c r="H54" i="8" l="1"/>
  <c r="H61" i="8" s="1"/>
  <c r="H65" i="8" s="1"/>
  <c r="E66" i="8"/>
  <c r="E54" i="8"/>
  <c r="E61" i="8" s="1"/>
  <c r="E65" i="8" s="1"/>
  <c r="F66" i="8"/>
  <c r="F54" i="8"/>
  <c r="F61" i="8" s="1"/>
  <c r="F65" i="8" s="1"/>
  <c r="N13" i="8"/>
  <c r="O13" i="8" s="1"/>
  <c r="G67" i="8"/>
  <c r="G69" i="8" s="1"/>
  <c r="G72" i="8"/>
  <c r="J14" i="8"/>
  <c r="H72" i="8" l="1"/>
  <c r="H67" i="8"/>
  <c r="H69" i="8" s="1"/>
  <c r="F72" i="8"/>
  <c r="F67" i="8"/>
  <c r="F69" i="8" s="1"/>
  <c r="E67" i="8"/>
  <c r="E69" i="8" s="1"/>
  <c r="E72" i="8"/>
  <c r="G32" i="3"/>
  <c r="G16" i="3"/>
  <c r="G34" i="3" l="1"/>
  <c r="E8" i="3" s="1"/>
  <c r="E16" i="3" s="1"/>
  <c r="E34" i="3" s="1"/>
  <c r="E39" i="3" s="1"/>
  <c r="E47" i="3" s="1"/>
  <c r="G27" i="1" l="1"/>
  <c r="G54" i="1" l="1"/>
  <c r="G203" i="1" s="1"/>
  <c r="G215" i="1" s="1"/>
  <c r="G2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Borden Carleton Admin</author>
  </authors>
  <commentList>
    <comment ref="A35" authorId="0" shapeId="0" xr:uid="{3693A14B-2D9F-43AF-B506-BB916A2F7EE6}">
      <text>
        <r>
          <rPr>
            <b/>
            <sz val="9"/>
            <color indexed="81"/>
            <rFont val="Tahoma"/>
            <family val="2"/>
          </rPr>
          <t>Borden Carleton Admin:</t>
        </r>
        <r>
          <rPr>
            <sz val="9"/>
            <color indexed="81"/>
            <rFont val="Tahoma"/>
            <family val="2"/>
          </rPr>
          <t xml:space="preserve">
)
</t>
        </r>
      </text>
    </comment>
  </commentList>
</comments>
</file>

<file path=xl/sharedStrings.xml><?xml version="1.0" encoding="utf-8"?>
<sst xmlns="http://schemas.openxmlformats.org/spreadsheetml/2006/main" count="3704" uniqueCount="1958">
  <si>
    <t>DRAFT</t>
  </si>
  <si>
    <t>REVENUES</t>
  </si>
  <si>
    <t>RECREATION</t>
  </si>
  <si>
    <t>ARENA</t>
  </si>
  <si>
    <t>Property Tax</t>
  </si>
  <si>
    <t>Provincial Tax Credit</t>
  </si>
  <si>
    <t>Equalization</t>
  </si>
  <si>
    <t>Surplus/Deficit from Previous Year</t>
  </si>
  <si>
    <t>Leadership grant</t>
  </si>
  <si>
    <t>Job Creation Grant</t>
  </si>
  <si>
    <t>Grants - other</t>
  </si>
  <si>
    <t>Fire Dues - District</t>
  </si>
  <si>
    <t>Fire Dues - SCBL</t>
  </si>
  <si>
    <t>Fines</t>
  </si>
  <si>
    <t>Summer Program registration</t>
  </si>
  <si>
    <t>Misc. revenue</t>
  </si>
  <si>
    <t>BUDGET</t>
  </si>
  <si>
    <t>APR/20-MAR21</t>
  </si>
  <si>
    <t xml:space="preserve">SUB TOTAL </t>
  </si>
  <si>
    <t>APR/19-Mar20</t>
  </si>
  <si>
    <t>SUB TOTAL</t>
  </si>
  <si>
    <t>Ice rentals</t>
  </si>
  <si>
    <t>Gym Memberships</t>
  </si>
  <si>
    <t>Canteen sales</t>
  </si>
  <si>
    <t>Mis. Revenue</t>
  </si>
  <si>
    <t>Donations and Fundraising</t>
  </si>
  <si>
    <t>Arena rentals</t>
  </si>
  <si>
    <t>TOTAL REVENUE</t>
  </si>
  <si>
    <t>Prov. Arena Grant</t>
  </si>
  <si>
    <t>EXPENDITURES</t>
  </si>
  <si>
    <t>FIRE DEPARTMENT</t>
  </si>
  <si>
    <t>PROFESSIONAL FEES</t>
  </si>
  <si>
    <t>PUBLIC WORKS</t>
  </si>
  <si>
    <t>Snow Removal</t>
  </si>
  <si>
    <t>Street lights</t>
  </si>
  <si>
    <t>Sidewalk Maintenance</t>
  </si>
  <si>
    <t>Street Maintenance</t>
  </si>
  <si>
    <t>Snow Removal Streets</t>
  </si>
  <si>
    <t>Street signs</t>
  </si>
  <si>
    <t>Audit/Accounting</t>
  </si>
  <si>
    <t>Legal</t>
  </si>
  <si>
    <t>Other</t>
  </si>
  <si>
    <t>Planning</t>
  </si>
  <si>
    <t>Electricity</t>
  </si>
  <si>
    <t>Insurance</t>
  </si>
  <si>
    <t>Canteen supplies</t>
  </si>
  <si>
    <t>Fuel</t>
  </si>
  <si>
    <t>Repairs and Maintenance</t>
  </si>
  <si>
    <t>Garbage</t>
  </si>
  <si>
    <t>Misc. Expenses</t>
  </si>
  <si>
    <t>PROPERTIES</t>
  </si>
  <si>
    <t>Bell Building</t>
  </si>
  <si>
    <t>Heat</t>
  </si>
  <si>
    <t>electricity</t>
  </si>
  <si>
    <t>Maintenance and Repair</t>
  </si>
  <si>
    <t>Snow removal</t>
  </si>
  <si>
    <t>Marine Rail Park</t>
  </si>
  <si>
    <t>Read Road</t>
  </si>
  <si>
    <t>Property Tax/utilities</t>
  </si>
  <si>
    <t>LESS FIRE DEPT ALLOCATION</t>
  </si>
  <si>
    <t>Marine Park Total</t>
  </si>
  <si>
    <t>Read Road total</t>
  </si>
  <si>
    <t>SUB TOTAL PROPERTIES</t>
  </si>
  <si>
    <t>Salaries and Benefits</t>
  </si>
  <si>
    <t>Ballfield - Repairs and Maintenance</t>
  </si>
  <si>
    <t>Misc</t>
  </si>
  <si>
    <t>Events</t>
  </si>
  <si>
    <t>Supplies/equipment</t>
  </si>
  <si>
    <t>Canada Day</t>
  </si>
  <si>
    <t>Interest on LT Debt</t>
  </si>
  <si>
    <t>Honourariums</t>
  </si>
  <si>
    <t>Convention and Training</t>
  </si>
  <si>
    <t>Telephone/Communications</t>
  </si>
  <si>
    <t>Supplies/Uniforms</t>
  </si>
  <si>
    <t>Misc.</t>
  </si>
  <si>
    <t>SUBTOTAL</t>
  </si>
  <si>
    <t>Rent -Town office</t>
  </si>
  <si>
    <t>FCM/FPEIM Memberships</t>
  </si>
  <si>
    <t>LESS UTILITY ALLOCATION</t>
  </si>
  <si>
    <t>Office Supplies and Postage</t>
  </si>
  <si>
    <t>Interest and Bank Charges</t>
  </si>
  <si>
    <t>Travel and Conference</t>
  </si>
  <si>
    <t>Tractor, gas and repairs</t>
  </si>
  <si>
    <t>Advertising/Donations/Scholarships/etc</t>
  </si>
  <si>
    <t>Copier lease/software/computer main.</t>
  </si>
  <si>
    <t>TOWN OF BORDEN-CARLETON</t>
  </si>
  <si>
    <t>TOWN OF BORDEN-CARLETON WATER UTILITY</t>
  </si>
  <si>
    <t>Residential</t>
  </si>
  <si>
    <t>Commercial</t>
  </si>
  <si>
    <t>Fire protection charge</t>
  </si>
  <si>
    <t>Inspection/connection fees</t>
  </si>
  <si>
    <t>Government transfers for Capital</t>
  </si>
  <si>
    <t>Interest on overdue accounts</t>
  </si>
  <si>
    <t>Certiifed Operator Contract</t>
  </si>
  <si>
    <t>Allocation from General Government</t>
  </si>
  <si>
    <t>IRAC Levy</t>
  </si>
  <si>
    <t>Professional Fees</t>
  </si>
  <si>
    <t>Water Tests</t>
  </si>
  <si>
    <t>interest and Bank Charges</t>
  </si>
  <si>
    <t>TOTAL EXPENDITURES</t>
  </si>
  <si>
    <t>PROJECTED SURPLUS/DEFICIT</t>
  </si>
  <si>
    <t>TOWN OF BORDEN-CARLETON SEWER UTILITY</t>
  </si>
  <si>
    <t>Dumping fees</t>
  </si>
  <si>
    <t>Gas Tax</t>
  </si>
  <si>
    <t>Telephone</t>
  </si>
  <si>
    <t>Supplies</t>
  </si>
  <si>
    <t>Conference &amp; Travel</t>
  </si>
  <si>
    <t>Pest Control</t>
  </si>
  <si>
    <t>Memberships and Dues</t>
  </si>
  <si>
    <t>Date</t>
  </si>
  <si>
    <t>Grants -wages</t>
  </si>
  <si>
    <t>Property tax/Water/Sewer</t>
  </si>
  <si>
    <t>Salaries and Benefits (Arena &amp; Canteen)</t>
  </si>
  <si>
    <t>ACTUAL (EST)</t>
  </si>
  <si>
    <t>ACTUAL(EST)</t>
  </si>
  <si>
    <t>Surplus from previous year</t>
  </si>
  <si>
    <t>Debt Repayment</t>
  </si>
  <si>
    <t>TOWN</t>
  </si>
  <si>
    <t>Water Tower upgrades Phase I</t>
  </si>
  <si>
    <t>Memorial Park (Larkin Property)</t>
  </si>
  <si>
    <t>ACTUALS</t>
  </si>
  <si>
    <t>APR/21- Mar/22</t>
  </si>
  <si>
    <t>Old Abby lot - Interest &amp; Taxes</t>
  </si>
  <si>
    <t>Trf to Capital Fund</t>
  </si>
  <si>
    <t>Account Number</t>
  </si>
  <si>
    <t>Account Description</t>
  </si>
  <si>
    <t>A</t>
  </si>
  <si>
    <t>5293</t>
  </si>
  <si>
    <t>Depreciation - Fire Dept</t>
  </si>
  <si>
    <t>B</t>
  </si>
  <si>
    <t>5202</t>
  </si>
  <si>
    <t>Fire Dept Supper</t>
  </si>
  <si>
    <t>5253</t>
  </si>
  <si>
    <t>Training-Fire Department</t>
  </si>
  <si>
    <t>C</t>
  </si>
  <si>
    <t>5233</t>
  </si>
  <si>
    <t>Truck Gas &amp; Oil-Fire Department</t>
  </si>
  <si>
    <t>5236</t>
  </si>
  <si>
    <t>Truck Repairs-Fire Department</t>
  </si>
  <si>
    <t>5239</t>
  </si>
  <si>
    <t>Repairs &amp; Maintenance-Fire Depart</t>
  </si>
  <si>
    <t>5271</t>
  </si>
  <si>
    <t>Equipment Repairs-Fire Department</t>
  </si>
  <si>
    <t>D</t>
  </si>
  <si>
    <t>5203</t>
  </si>
  <si>
    <t>Honorariums-Fire Department</t>
  </si>
  <si>
    <t>E</t>
  </si>
  <si>
    <t>5256</t>
  </si>
  <si>
    <t>Insurance-Fire Department</t>
  </si>
  <si>
    <t>5259</t>
  </si>
  <si>
    <t>Insurance - Equipment-Fire Depart</t>
  </si>
  <si>
    <t>5262</t>
  </si>
  <si>
    <t>Insurance Vehicle-Fire Department</t>
  </si>
  <si>
    <t>F</t>
  </si>
  <si>
    <t>5224</t>
  </si>
  <si>
    <t>Interest on Long Term Debt-Fire</t>
  </si>
  <si>
    <t>H</t>
  </si>
  <si>
    <t>5247</t>
  </si>
  <si>
    <t>Advertising-Fire Department</t>
  </si>
  <si>
    <t>5265</t>
  </si>
  <si>
    <t>Licenses-Fire Department</t>
  </si>
  <si>
    <t>5286</t>
  </si>
  <si>
    <t>Miscellaneous-Fire Department</t>
  </si>
  <si>
    <t>I</t>
  </si>
  <si>
    <t>5218</t>
  </si>
  <si>
    <t>Supplies-Fire Department</t>
  </si>
  <si>
    <t>5268</t>
  </si>
  <si>
    <t>Fire Equipment-Fire Department</t>
  </si>
  <si>
    <t>J</t>
  </si>
  <si>
    <t>5206</t>
  </si>
  <si>
    <t>Telephone-Fire Department</t>
  </si>
  <si>
    <t>5209</t>
  </si>
  <si>
    <t>Answering Service-Fire Department</t>
  </si>
  <si>
    <t>5215</t>
  </si>
  <si>
    <t>Pagers-Fire Department</t>
  </si>
  <si>
    <t>5216</t>
  </si>
  <si>
    <t>Radio System-Fire Service</t>
  </si>
  <si>
    <t>K</t>
  </si>
  <si>
    <t>5291</t>
  </si>
  <si>
    <t>Water-Charge/Fire Department</t>
  </si>
  <si>
    <t>L</t>
  </si>
  <si>
    <t>5242</t>
  </si>
  <si>
    <t>Snow Removal-Fire Department</t>
  </si>
  <si>
    <t>5289</t>
  </si>
  <si>
    <t>Share of Building- Fire Department</t>
  </si>
  <si>
    <t>Shd Share be library</t>
  </si>
  <si>
    <t xml:space="preserve">Amortization of Tangible Capital Assets -Fire </t>
  </si>
  <si>
    <t>Connventions &amp; Training</t>
  </si>
  <si>
    <t>X</t>
  </si>
  <si>
    <t>Principal Repayments Fire Dept Loans</t>
  </si>
  <si>
    <t>Equipment Gas &amp; Repairs</t>
  </si>
  <si>
    <t>Water Utility- Hydrant Charges</t>
  </si>
  <si>
    <t>Bell Building Operating Costs</t>
  </si>
  <si>
    <t>XX</t>
  </si>
  <si>
    <t>Capital Expenditures</t>
  </si>
  <si>
    <t>FIRE DEPT - TOTAL OPERATING COSTS</t>
  </si>
  <si>
    <t>mixture of a 15 mo yr</t>
  </si>
  <si>
    <t>FIRE DEPT - TOTAL EXPENDITURES</t>
  </si>
  <si>
    <t xml:space="preserve">Capital Grants </t>
  </si>
  <si>
    <t>Net Costs</t>
  </si>
  <si>
    <t>Borden-Carleton Rural Fire Dept</t>
  </si>
  <si>
    <t>TOWN OF BORDEN-CARLETON FIRE DEPT COSTS</t>
  </si>
  <si>
    <t>2019-20</t>
  </si>
  <si>
    <t>2020-21</t>
  </si>
  <si>
    <t>2021-22</t>
  </si>
  <si>
    <t>ACTUALS??</t>
  </si>
  <si>
    <t>Actuals</t>
  </si>
  <si>
    <t>What is the Breakdown??</t>
  </si>
  <si>
    <t>2018-19</t>
  </si>
  <si>
    <t>2019/20</t>
  </si>
  <si>
    <t>Review Policy</t>
  </si>
  <si>
    <t>bell</t>
  </si>
  <si>
    <t>fire veh</t>
  </si>
  <si>
    <t>fire equip</t>
  </si>
  <si>
    <t>fire hall exp</t>
  </si>
  <si>
    <t>Bunker Gear</t>
  </si>
  <si>
    <t>Strait Crossing Contribution</t>
  </si>
  <si>
    <t>Depreciation Not Rate Based</t>
  </si>
  <si>
    <t xml:space="preserve">Borden-Carleton Rural Fire Dept Base </t>
  </si>
  <si>
    <t>Borden-Carleton Rural Fire Dept DUES</t>
  </si>
  <si>
    <t>Not rate based</t>
  </si>
  <si>
    <t>Tower/Pager</t>
  </si>
  <si>
    <t>Equipment,gas, and repairs</t>
  </si>
  <si>
    <t>Bell Bulding Cost Allocation</t>
  </si>
  <si>
    <t>Water Utility Hydrant Charges</t>
  </si>
  <si>
    <t>Will go up if Water rates change</t>
  </si>
  <si>
    <t>Review 15.50/call</t>
  </si>
  <si>
    <t>APR21-MAR 22</t>
  </si>
  <si>
    <t>Generator (Backup)  Fire Hall</t>
  </si>
  <si>
    <t>5 YEAR CAPITAL PLAN</t>
  </si>
  <si>
    <t>GL #</t>
  </si>
  <si>
    <t>ASSET NAME</t>
  </si>
  <si>
    <t>DESCRIPTION</t>
  </si>
  <si>
    <t>TOTAL  COST)</t>
  </si>
  <si>
    <t>YEAR 1</t>
  </si>
  <si>
    <t>YEAR 2</t>
  </si>
  <si>
    <t>YEAR 3</t>
  </si>
  <si>
    <t>YEAR 4</t>
  </si>
  <si>
    <t>YEAR 5</t>
  </si>
  <si>
    <t>&gt; 5 YRS</t>
  </si>
  <si>
    <t>Fire Equipment</t>
  </si>
  <si>
    <t>Fire Vehicles</t>
  </si>
  <si>
    <t>Manhole Corner Howatt &amp; Beatty Streets</t>
  </si>
  <si>
    <t>Signage - Welcome Sign w New Loga</t>
  </si>
  <si>
    <t>Signage- Business Directory</t>
  </si>
  <si>
    <t>Signage - Community/Arena Info</t>
  </si>
  <si>
    <t>Rink parking Lot Lines</t>
  </si>
  <si>
    <t>Street Line painting - Main Street</t>
  </si>
  <si>
    <t>Sidewalks</t>
  </si>
  <si>
    <t>Replacement program</t>
  </si>
  <si>
    <t>Comments</t>
  </si>
  <si>
    <t>UTILITIES</t>
  </si>
  <si>
    <t>2" Gas Water Pump with suction and recharged hoses</t>
  </si>
  <si>
    <t>Hydrant Access Improvements</t>
  </si>
  <si>
    <t>Street Improvements</t>
  </si>
  <si>
    <t>End of George Street</t>
  </si>
  <si>
    <t>End of Church St</t>
  </si>
  <si>
    <t>Manhole Top of Wharf Hill</t>
  </si>
  <si>
    <t>Manhole Back End Rink Parking Lot</t>
  </si>
  <si>
    <t>Dual purpose Flooding/Sewer Lift St</t>
  </si>
  <si>
    <t>Replace 2004 GMC Pumper Truck</t>
  </si>
  <si>
    <t>Furnace Replacement Fire Hall</t>
  </si>
  <si>
    <t>Expoand Maintenance Shop - Read Road</t>
  </si>
  <si>
    <t>Building- Read Rd</t>
  </si>
  <si>
    <t>Library Parking Lot &amp; Walkway</t>
  </si>
  <si>
    <t>Heating system Library</t>
  </si>
  <si>
    <t>Arena</t>
  </si>
  <si>
    <t>Boardwalk Improvements</t>
  </si>
  <si>
    <t>Expand Trail System - Noonmons Pond/Rail Park</t>
  </si>
  <si>
    <t>Ball Field Upgrades/Fence/Netting/Backstop/Gravels</t>
  </si>
  <si>
    <t>General Government</t>
  </si>
  <si>
    <t>Fire Protection</t>
  </si>
  <si>
    <t>Transportation Services</t>
  </si>
  <si>
    <t>Recreation &amp; Cultural Services (Library)</t>
  </si>
  <si>
    <t>Recreation &amp; Cultural Services (Parks &amp; Playgrounds)</t>
  </si>
  <si>
    <t>Environmental Development Services/Tourism</t>
  </si>
  <si>
    <t>Heating system library</t>
  </si>
  <si>
    <t>Destination Borden-Carleton- Phase 2</t>
  </si>
  <si>
    <t>Destination Borden-Carleton- Phase 3</t>
  </si>
  <si>
    <t>Caboose- Lease</t>
  </si>
  <si>
    <t>Lighthouse-Lease</t>
  </si>
  <si>
    <t>Craft Shop - Lease</t>
  </si>
  <si>
    <t>to be determined</t>
  </si>
  <si>
    <t>Beautification</t>
  </si>
  <si>
    <t>Is Stormwater Part of the Utility</t>
  </si>
  <si>
    <t>Recreation &amp; Cultural (ARENA)</t>
  </si>
  <si>
    <t>Partially on prov Property</t>
  </si>
  <si>
    <t>Benches, Chairs Flower Boxes</t>
  </si>
  <si>
    <t>Backshore</t>
  </si>
  <si>
    <t>Improve Parking Areas</t>
  </si>
  <si>
    <t>APR22-MAR23</t>
  </si>
  <si>
    <t>APR23-MAR24</t>
  </si>
  <si>
    <t>APR24-MAR25</t>
  </si>
  <si>
    <t>APR25-MAR26</t>
  </si>
  <si>
    <t>Future</t>
  </si>
  <si>
    <t>Entire Plant Replacement</t>
  </si>
  <si>
    <t>General Equip Upgrades, boots/hel,ets/noozles/</t>
  </si>
  <si>
    <t>Computers: Town Office /Council Tablets</t>
  </si>
  <si>
    <t>Computer Equipment</t>
  </si>
  <si>
    <t>File Cabinets- Office Equipment</t>
  </si>
  <si>
    <t>Library Furniture</t>
  </si>
  <si>
    <t>Fire Equipmenr</t>
  </si>
  <si>
    <t>Generator</t>
  </si>
  <si>
    <t>Streets/Sidewalks</t>
  </si>
  <si>
    <t>Playground Equip</t>
  </si>
  <si>
    <t>Tables/Chairs/Shelves</t>
  </si>
  <si>
    <t>Fire Hall</t>
  </si>
  <si>
    <t>Gen Gov't Equip</t>
  </si>
  <si>
    <t>XXXX</t>
  </si>
  <si>
    <t>xxxx</t>
  </si>
  <si>
    <t>Library Building</t>
  </si>
  <si>
    <t>TOTAL TOWN CAPITAL</t>
  </si>
  <si>
    <t xml:space="preserve">TOTAL _ARENA </t>
  </si>
  <si>
    <t>TOTAL TOWN &amp; ARENA</t>
  </si>
  <si>
    <t>1810 335</t>
  </si>
  <si>
    <t>Hydrants</t>
  </si>
  <si>
    <t>1830 330</t>
  </si>
  <si>
    <t>Distribution Tower</t>
  </si>
  <si>
    <t>1705 354</t>
  </si>
  <si>
    <t>Sewer structures</t>
  </si>
  <si>
    <t>1800 311</t>
  </si>
  <si>
    <t>Pumping Equip</t>
  </si>
  <si>
    <t>Sewer extension  Darrell O'Connell</t>
  </si>
  <si>
    <t>2 " Sewer extention KOA Campground Patnter Lane</t>
  </si>
  <si>
    <t>(15 months)</t>
  </si>
  <si>
    <t xml:space="preserve">Amortization -  Capital Assets -Fire </t>
  </si>
  <si>
    <t>FIRE DEPT (NET COSTS )</t>
  </si>
  <si>
    <t>Borden-Carleton Fire Dist (portion assessed)</t>
  </si>
  <si>
    <t>AMT Paid by District</t>
  </si>
  <si>
    <t>Bal Owed by District</t>
  </si>
  <si>
    <t>2018/19</t>
  </si>
  <si>
    <t>RECAP OF RECEIVABLE FROM BORDEN-CARLETON FIRE DISTRICT</t>
  </si>
  <si>
    <t>AS OF MAR 31 2021</t>
  </si>
  <si>
    <t>(info from Audited Financial statements)</t>
  </si>
  <si>
    <t>TOTAL</t>
  </si>
  <si>
    <t>Water Extension Caboose/Lighthouse</t>
  </si>
  <si>
    <t>Sewer Extenstion Caboose/Lighthouse</t>
  </si>
  <si>
    <t>HST</t>
  </si>
  <si>
    <t>IN COST</t>
  </si>
  <si>
    <t>5 YRS</t>
  </si>
  <si>
    <t>Tables and Chairs</t>
  </si>
  <si>
    <t>Carleton Memorial Park</t>
  </si>
  <si>
    <t>Smart TV - Tracking &amp; Monitoring Calls</t>
  </si>
  <si>
    <t>Electrical/Painting/Signage (Water/Sewer under Utilities)</t>
  </si>
  <si>
    <t>Electrical (Water/Sewer under Utilities)</t>
  </si>
  <si>
    <t>Prior Years Adjusyments Tax</t>
  </si>
  <si>
    <t>JE Required</t>
  </si>
  <si>
    <t>Provincial Top Up Grant</t>
  </si>
  <si>
    <t>10% Rebate  on Capital</t>
  </si>
  <si>
    <t>Prior Years Revenue Received</t>
  </si>
  <si>
    <t>W/o Fire Dues Receivable</t>
  </si>
  <si>
    <t>Comment</t>
  </si>
  <si>
    <t>Source #</t>
  </si>
  <si>
    <t>JE#</t>
  </si>
  <si>
    <t>Debits</t>
  </si>
  <si>
    <t>Credits</t>
  </si>
  <si>
    <t>Balance</t>
  </si>
  <si>
    <t/>
  </si>
  <si>
    <t>Cr</t>
  </si>
  <si>
    <t>Dr</t>
  </si>
  <si>
    <t>JE</t>
  </si>
  <si>
    <t>bnk</t>
  </si>
  <si>
    <t>adjmt</t>
  </si>
  <si>
    <t>MRSB</t>
  </si>
  <si>
    <t>JE-YREND-JW</t>
  </si>
  <si>
    <t>Aug2019</t>
  </si>
  <si>
    <t>4211</t>
  </si>
  <si>
    <t>On Arena Budget/Statements</t>
  </si>
  <si>
    <t>Building /Development PermitsPermits</t>
  </si>
  <si>
    <t>multiple</t>
  </si>
  <si>
    <t>Grant - Canada Day</t>
  </si>
  <si>
    <t>Donations</t>
  </si>
  <si>
    <t xml:space="preserve">MARCH 2021 </t>
  </si>
  <si>
    <t>AMORTIZATION</t>
  </si>
  <si>
    <t>Protective Services</t>
  </si>
  <si>
    <t>Envirnomental Health</t>
  </si>
  <si>
    <t>Environmental Develkopment</t>
  </si>
  <si>
    <t>Recreation &amp; Cultural Services</t>
  </si>
  <si>
    <t>Recreation (ARENA)</t>
  </si>
  <si>
    <t>Total Amortization</t>
  </si>
  <si>
    <t>NET FINANCIAL OPERATIONS</t>
  </si>
  <si>
    <t>Transfers to Reserves</t>
  </si>
  <si>
    <t>Rail Park rent/lease</t>
  </si>
  <si>
    <t>Sign Rental/Advertising fees</t>
  </si>
  <si>
    <t>Sign rentals/Arena</t>
  </si>
  <si>
    <t xml:space="preserve">Events </t>
  </si>
  <si>
    <t>Spring Clean Up; Jamie Fox Roast;Gateway Days;100 Anniversary; winter carnival Bingo</t>
  </si>
  <si>
    <t>Federal Grants - ACOA</t>
  </si>
  <si>
    <t>Provincial -Innovation PEI</t>
  </si>
  <si>
    <t>TOTAL  OPERATING REVENUE</t>
  </si>
  <si>
    <t>Skate Sponsors</t>
  </si>
  <si>
    <t>Grants/Trfs from Gas Tax (Arena)</t>
  </si>
  <si>
    <t>Grant/Trfs From Gas Tax (Town)</t>
  </si>
  <si>
    <t>Multiple</t>
  </si>
  <si>
    <t>on a fiscal year basis (payable in advance ) Bill April 1st</t>
  </si>
  <si>
    <t>Municipal Capital Expenditure Grant(MCEG) ARENA</t>
  </si>
  <si>
    <t>Municipal Capital Expenditure Grant(MCEG) TOWN</t>
  </si>
  <si>
    <t>Bell Building Total (Library Portion</t>
  </si>
  <si>
    <t>Grants - COVID-19</t>
  </si>
  <si>
    <t>Arthur</t>
  </si>
  <si>
    <t>JE required?</t>
  </si>
  <si>
    <t>Sale of Millings</t>
  </si>
  <si>
    <t>5304</t>
  </si>
  <si>
    <t>Administrative fee-Tax revenue</t>
  </si>
  <si>
    <t>5305</t>
  </si>
  <si>
    <t>Wages - Casual Employees</t>
  </si>
  <si>
    <t>5309</t>
  </si>
  <si>
    <t>Worker's Compensation</t>
  </si>
  <si>
    <t>April302019</t>
  </si>
  <si>
    <t>Feb2020</t>
  </si>
  <si>
    <t>Sherry, Tasha</t>
  </si>
  <si>
    <t>5319</t>
  </si>
  <si>
    <t>Canada Pension Plan - summer</t>
  </si>
  <si>
    <t>5321</t>
  </si>
  <si>
    <t>Employment Insurance - summer</t>
  </si>
  <si>
    <t>5325</t>
  </si>
  <si>
    <t>Office Cell Phones</t>
  </si>
  <si>
    <t>Eastlink Wireless</t>
  </si>
  <si>
    <t>April2019</t>
  </si>
  <si>
    <t>J402</t>
  </si>
  <si>
    <t>June2019</t>
  </si>
  <si>
    <t>J716</t>
  </si>
  <si>
    <t>July2019</t>
  </si>
  <si>
    <t>J856</t>
  </si>
  <si>
    <t>J1073</t>
  </si>
  <si>
    <t>Sept2019</t>
  </si>
  <si>
    <t>J1473</t>
  </si>
  <si>
    <t>October2019</t>
  </si>
  <si>
    <t>J1475</t>
  </si>
  <si>
    <t>bal to pymt</t>
  </si>
  <si>
    <t>J1476</t>
  </si>
  <si>
    <t>14541, Holly Bernard</t>
  </si>
  <si>
    <t>November2019B</t>
  </si>
  <si>
    <t>J1249</t>
  </si>
  <si>
    <t>Nov. 10 2019</t>
  </si>
  <si>
    <t>J1469</t>
  </si>
  <si>
    <t>rev duplicate</t>
  </si>
  <si>
    <t>J1478</t>
  </si>
  <si>
    <t>14550, Holly Bernard</t>
  </si>
  <si>
    <t>December2019</t>
  </si>
  <si>
    <t>J1258</t>
  </si>
  <si>
    <t>J1632</t>
  </si>
  <si>
    <t>14611, Holly Bernard</t>
  </si>
  <si>
    <t>January2020</t>
  </si>
  <si>
    <t>J1551</t>
  </si>
  <si>
    <t>Eastlink</t>
  </si>
  <si>
    <t>January1020</t>
  </si>
  <si>
    <t>J1633</t>
  </si>
  <si>
    <t>14644, Holly Bernard</t>
  </si>
  <si>
    <t>J1680</t>
  </si>
  <si>
    <t>J1812</t>
  </si>
  <si>
    <t>14692, Holly Bernard</t>
  </si>
  <si>
    <t>March20</t>
  </si>
  <si>
    <t>J1843</t>
  </si>
  <si>
    <t>March2020</t>
  </si>
  <si>
    <t>J1931</t>
  </si>
  <si>
    <t>clear balance</t>
  </si>
  <si>
    <t>J2098</t>
  </si>
  <si>
    <t>HST INC HOLLY CELL PHONE PTMT 12x9.13</t>
  </si>
  <si>
    <t>JE-JW-HST</t>
  </si>
  <si>
    <t>J2196</t>
  </si>
  <si>
    <t>5327</t>
  </si>
  <si>
    <t>Telephone &amp; Internet</t>
  </si>
  <si>
    <t>J365</t>
  </si>
  <si>
    <t>May2019</t>
  </si>
  <si>
    <t>J526</t>
  </si>
  <si>
    <t>J714</t>
  </si>
  <si>
    <t>J715</t>
  </si>
  <si>
    <t>J887</t>
  </si>
  <si>
    <t>Cash, Bell  Aliant Telecom</t>
  </si>
  <si>
    <t>294785</t>
  </si>
  <si>
    <t>J1181</t>
  </si>
  <si>
    <t>J1075</t>
  </si>
  <si>
    <t>Oct2019</t>
  </si>
  <si>
    <t>J1076</t>
  </si>
  <si>
    <t>November2019</t>
  </si>
  <si>
    <t>J1244</t>
  </si>
  <si>
    <t>rev. 2017 ppay</t>
  </si>
  <si>
    <t>J1480</t>
  </si>
  <si>
    <t>Cash, Eastlink</t>
  </si>
  <si>
    <t>Dec. 2019</t>
  </si>
  <si>
    <t>J1482</t>
  </si>
  <si>
    <t>J1631</t>
  </si>
  <si>
    <t>J1781</t>
  </si>
  <si>
    <t>MArch2020</t>
  </si>
  <si>
    <t>J1932</t>
  </si>
  <si>
    <t>Bell Aliant</t>
  </si>
  <si>
    <t>rev. 2018</t>
  </si>
  <si>
    <t>J2092</t>
  </si>
  <si>
    <t>5329</t>
  </si>
  <si>
    <t>Equipment Lease Xerox</t>
  </si>
  <si>
    <t>Xerox Canada LTD</t>
  </si>
  <si>
    <t>L13599351</t>
  </si>
  <si>
    <t>J404</t>
  </si>
  <si>
    <t>54122177</t>
  </si>
  <si>
    <t>J447</t>
  </si>
  <si>
    <t>54274614</t>
  </si>
  <si>
    <t>J558</t>
  </si>
  <si>
    <t>54394521</t>
  </si>
  <si>
    <t>J700</t>
  </si>
  <si>
    <t>L14640345</t>
  </si>
  <si>
    <t>J783</t>
  </si>
  <si>
    <t>F54539760</t>
  </si>
  <si>
    <t>J850</t>
  </si>
  <si>
    <t>14452, Xerox Canada LTD</t>
  </si>
  <si>
    <t>Aug272019</t>
  </si>
  <si>
    <t>J1017</t>
  </si>
  <si>
    <t>54859050</t>
  </si>
  <si>
    <t>J1108</t>
  </si>
  <si>
    <t>15679971</t>
  </si>
  <si>
    <t>J1112</t>
  </si>
  <si>
    <t>54990533</t>
  </si>
  <si>
    <t>J1199</t>
  </si>
  <si>
    <t>55249431</t>
  </si>
  <si>
    <t>J1652</t>
  </si>
  <si>
    <t>16719773</t>
  </si>
  <si>
    <t>J1651</t>
  </si>
  <si>
    <t>F55374519</t>
  </si>
  <si>
    <t>J1722</t>
  </si>
  <si>
    <t>55540472</t>
  </si>
  <si>
    <t>J1918</t>
  </si>
  <si>
    <t>14743, Xerox Canada LTD</t>
  </si>
  <si>
    <t>55668685</t>
  </si>
  <si>
    <t>J1977</t>
  </si>
  <si>
    <t>5330</t>
  </si>
  <si>
    <t>Software</t>
  </si>
  <si>
    <t>Sage Software Canada Ltd</t>
  </si>
  <si>
    <t>J689</t>
  </si>
  <si>
    <t>Webavee Web Development</t>
  </si>
  <si>
    <t>August2019</t>
  </si>
  <si>
    <t>J978</t>
  </si>
  <si>
    <t>5331</t>
  </si>
  <si>
    <t>New Deal Gas Tax Infrastructure</t>
  </si>
  <si>
    <t>5332</t>
  </si>
  <si>
    <t>Equipment and Tool Purchases</t>
  </si>
  <si>
    <t>Ceretti's Grocery &amp; Hardware</t>
  </si>
  <si>
    <t>J1718</t>
  </si>
  <si>
    <t>5333</t>
  </si>
  <si>
    <t>Equipment Repairs</t>
  </si>
  <si>
    <t>14398, Advance Rentals</t>
  </si>
  <si>
    <t>12500275</t>
  </si>
  <si>
    <t>J913</t>
  </si>
  <si>
    <t>14528, Bernard, Dennis</t>
  </si>
  <si>
    <t>Oct292019</t>
  </si>
  <si>
    <t>J1148</t>
  </si>
  <si>
    <t>5334</t>
  </si>
  <si>
    <t>Repairs &amp; Maintenance - Town</t>
  </si>
  <si>
    <t>14204, Ceretti's Grocery &amp; Hardware</t>
  </si>
  <si>
    <t>J463</t>
  </si>
  <si>
    <t>Callbeck's Home Hardware</t>
  </si>
  <si>
    <t>307040</t>
  </si>
  <si>
    <t>J848</t>
  </si>
  <si>
    <t>14235, City Glass and Mirror Inc.</t>
  </si>
  <si>
    <t>995303</t>
  </si>
  <si>
    <t>J548</t>
  </si>
  <si>
    <t>AS5583</t>
  </si>
  <si>
    <t>J550</t>
  </si>
  <si>
    <t>14247, Ceretti's Grocery &amp; Hardware</t>
  </si>
  <si>
    <t>J574</t>
  </si>
  <si>
    <t>On The Go Property Maintenance</t>
  </si>
  <si>
    <t>17790</t>
  </si>
  <si>
    <t>J562</t>
  </si>
  <si>
    <t>314554</t>
  </si>
  <si>
    <t>J749</t>
  </si>
  <si>
    <t>J805</t>
  </si>
  <si>
    <t>124935</t>
  </si>
  <si>
    <t>J794</t>
  </si>
  <si>
    <t>316628</t>
  </si>
  <si>
    <t>J891</t>
  </si>
  <si>
    <t>14399, Ceretti's Grocery &amp; Hardware</t>
  </si>
  <si>
    <t>J914</t>
  </si>
  <si>
    <t>Cash, Global Payment Card</t>
  </si>
  <si>
    <t>July 2019</t>
  </si>
  <si>
    <t>J1343</t>
  </si>
  <si>
    <t>318064</t>
  </si>
  <si>
    <t>J847</t>
  </si>
  <si>
    <t>14372, Petty Cash</t>
  </si>
  <si>
    <t>J844</t>
  </si>
  <si>
    <t>323358</t>
  </si>
  <si>
    <t>J1064</t>
  </si>
  <si>
    <t>224794</t>
  </si>
  <si>
    <t>J935</t>
  </si>
  <si>
    <t>133002</t>
  </si>
  <si>
    <t>J1648</t>
  </si>
  <si>
    <t>132997</t>
  </si>
  <si>
    <t>J1649</t>
  </si>
  <si>
    <t>14458, Ceretti's Grocery &amp; Hardware</t>
  </si>
  <si>
    <t>J1025</t>
  </si>
  <si>
    <t>Cash, Debit Card Account</t>
  </si>
  <si>
    <t>Aug. 31 2019</t>
  </si>
  <si>
    <t>J1386</t>
  </si>
  <si>
    <t>AU8195</t>
  </si>
  <si>
    <t>J1030</t>
  </si>
  <si>
    <t>AU3075</t>
  </si>
  <si>
    <t>J1031</t>
  </si>
  <si>
    <t>J1123</t>
  </si>
  <si>
    <t>J1248</t>
  </si>
  <si>
    <t>Chapman Bros. Construction Ltd.</t>
  </si>
  <si>
    <t>8081</t>
  </si>
  <si>
    <t>J1448</t>
  </si>
  <si>
    <t>Nov. 2019</t>
  </si>
  <si>
    <t>J1485</t>
  </si>
  <si>
    <t>December3119</t>
  </si>
  <si>
    <t>J1594</t>
  </si>
  <si>
    <t>Cash, John Deere Credit</t>
  </si>
  <si>
    <t>refund Jan.2020</t>
  </si>
  <si>
    <t>J1747</t>
  </si>
  <si>
    <t>FEbruary2020</t>
  </si>
  <si>
    <t>J1941</t>
  </si>
  <si>
    <t>Mid-Isle Backhoeing</t>
  </si>
  <si>
    <t>NOV2018</t>
  </si>
  <si>
    <t>J2139</t>
  </si>
  <si>
    <t>5335</t>
  </si>
  <si>
    <t>Renovations</t>
  </si>
  <si>
    <t>5336</t>
  </si>
  <si>
    <t>Rezoning /DevelopmentFees</t>
  </si>
  <si>
    <t>5337</t>
  </si>
  <si>
    <t>Interest &amp; Service Charges</t>
  </si>
  <si>
    <t>Cooke insurance withdrawal</t>
  </si>
  <si>
    <t>J512</t>
  </si>
  <si>
    <t>CU CHARGES</t>
  </si>
  <si>
    <t>BS</t>
  </si>
  <si>
    <t>J491</t>
  </si>
  <si>
    <t>ROUNDING ERROR</t>
  </si>
  <si>
    <t>J515</t>
  </si>
  <si>
    <t>Cooke Insurance Payment</t>
  </si>
  <si>
    <t>Credit union</t>
  </si>
  <si>
    <t>J584</t>
  </si>
  <si>
    <t>J586</t>
  </si>
  <si>
    <t>Cooke Insurance 1677.80</t>
  </si>
  <si>
    <t>J863</t>
  </si>
  <si>
    <t>J857</t>
  </si>
  <si>
    <t>J1158</t>
  </si>
  <si>
    <t>J1156</t>
  </si>
  <si>
    <t>J1218</t>
  </si>
  <si>
    <t>J1219</t>
  </si>
  <si>
    <t>J1299</t>
  </si>
  <si>
    <t>J1230</t>
  </si>
  <si>
    <t>Reconcile bank to actual</t>
  </si>
  <si>
    <t>J1322</t>
  </si>
  <si>
    <t>J1365</t>
  </si>
  <si>
    <t>J1355</t>
  </si>
  <si>
    <t>J1429</t>
  </si>
  <si>
    <t>J1440</t>
  </si>
  <si>
    <t>Cooke Insurance 1677.80,</t>
  </si>
  <si>
    <t>J2149</t>
  </si>
  <si>
    <t>J1581</t>
  </si>
  <si>
    <t>J2151</t>
  </si>
  <si>
    <t>J1737</t>
  </si>
  <si>
    <t>Reconcile bank</t>
  </si>
  <si>
    <t>J1750</t>
  </si>
  <si>
    <t>J2153</t>
  </si>
  <si>
    <t>J1895</t>
  </si>
  <si>
    <t>J2155</t>
  </si>
  <si>
    <t>J2029</t>
  </si>
  <si>
    <t>Hydman Ins Grp YR END ADJ Prepaid</t>
  </si>
  <si>
    <t>JE YR END ADJ</t>
  </si>
  <si>
    <t>J2165</t>
  </si>
  <si>
    <t>Minister of Finance &amp; Municipal Affairs</t>
  </si>
  <si>
    <t>885004-000</t>
  </si>
  <si>
    <t>J2217</t>
  </si>
  <si>
    <t>Minister of Finance 2019/20</t>
  </si>
  <si>
    <t>876375-20</t>
  </si>
  <si>
    <t>J2221</t>
  </si>
  <si>
    <t>Minister of Finance</t>
  </si>
  <si>
    <t>1035617-20</t>
  </si>
  <si>
    <t>J2222</t>
  </si>
  <si>
    <t>380576-20</t>
  </si>
  <si>
    <t>J2223</t>
  </si>
  <si>
    <t>380733-20</t>
  </si>
  <si>
    <t>J2224</t>
  </si>
  <si>
    <t>381343-20</t>
  </si>
  <si>
    <t>J2225</t>
  </si>
  <si>
    <t>381368-20</t>
  </si>
  <si>
    <t>J2226</t>
  </si>
  <si>
    <t>381350-20</t>
  </si>
  <si>
    <t>J2227</t>
  </si>
  <si>
    <t>Reverse Taxes Levied in 2018-19 Actual Bills posted Mar 2020</t>
  </si>
  <si>
    <t>REVTAXLEVIED18-JW</t>
  </si>
  <si>
    <t>J2229</t>
  </si>
  <si>
    <t>7254008-20</t>
  </si>
  <si>
    <t>J2231</t>
  </si>
  <si>
    <t>5339</t>
  </si>
  <si>
    <t>Interest on Long term Debt</t>
  </si>
  <si>
    <t>CU LN 082 PYMT 579.55</t>
  </si>
  <si>
    <t>J1376</t>
  </si>
  <si>
    <t>CU LN 075 STORM 550.67</t>
  </si>
  <si>
    <t>J486</t>
  </si>
  <si>
    <t>J1374</t>
  </si>
  <si>
    <t>J596</t>
  </si>
  <si>
    <t>J858</t>
  </si>
  <si>
    <t>CU LN 075 STORM 558.83</t>
  </si>
  <si>
    <t>J864</t>
  </si>
  <si>
    <t>J1209</t>
  </si>
  <si>
    <t>CU LN 075 STORM 567.49</t>
  </si>
  <si>
    <t>J1206</t>
  </si>
  <si>
    <t>J1216</t>
  </si>
  <si>
    <t>J1222</t>
  </si>
  <si>
    <t>J1305</t>
  </si>
  <si>
    <t>CU LN 075 STORM</t>
  </si>
  <si>
    <t>J1300</t>
  </si>
  <si>
    <t>J1356</t>
  </si>
  <si>
    <t>J1366</t>
  </si>
  <si>
    <t>J1428</t>
  </si>
  <si>
    <t>J1426</t>
  </si>
  <si>
    <t>J1573</t>
  </si>
  <si>
    <t>CU LN 075 STORM DRAINS</t>
  </si>
  <si>
    <t>J1578</t>
  </si>
  <si>
    <t>J1727</t>
  </si>
  <si>
    <t>J1726</t>
  </si>
  <si>
    <t>J1862</t>
  </si>
  <si>
    <t>J1861</t>
  </si>
  <si>
    <t>J2026</t>
  </si>
  <si>
    <t>J2028</t>
  </si>
  <si>
    <t>RECORD LOAN INTEREST FROM WATER UTILITY NOV2017-MAR 2020</t>
  </si>
  <si>
    <t>LOAN INT-JW</t>
  </si>
  <si>
    <t>J2156</t>
  </si>
  <si>
    <t>5340</t>
  </si>
  <si>
    <t>Capital Assets from Reven -Gen Gov</t>
  </si>
  <si>
    <t>5341</t>
  </si>
  <si>
    <t>Capital Debt Retirement</t>
  </si>
  <si>
    <t>To reverse capital debt retirement, not required</t>
  </si>
  <si>
    <t>J1395</t>
  </si>
  <si>
    <t>5342</t>
  </si>
  <si>
    <t>Capital Debt Retire-Security Camera</t>
  </si>
  <si>
    <t>5343</t>
  </si>
  <si>
    <t>Professional Fees- Audit</t>
  </si>
  <si>
    <t>MRSB Chartered Accountants</t>
  </si>
  <si>
    <t>Z6649CA</t>
  </si>
  <si>
    <t>J1034</t>
  </si>
  <si>
    <t>5344</t>
  </si>
  <si>
    <t>Professional Fees - Other</t>
  </si>
  <si>
    <t>14206, MRSB Chartered Accountants</t>
  </si>
  <si>
    <t>Z4413CA</t>
  </si>
  <si>
    <t>J1404</t>
  </si>
  <si>
    <t>14287, MRSB Chartered Accountants</t>
  </si>
  <si>
    <t>Z4959BC</t>
  </si>
  <si>
    <t>J1406</t>
  </si>
  <si>
    <t>C004165</t>
  </si>
  <si>
    <t>J718</t>
  </si>
  <si>
    <t>5232BC</t>
  </si>
  <si>
    <t>J1408</t>
  </si>
  <si>
    <t>14378, Derek A. French</t>
  </si>
  <si>
    <t>1901</t>
  </si>
  <si>
    <t>J855</t>
  </si>
  <si>
    <t>To reallocate Derek French to correct account</t>
  </si>
  <si>
    <t>J1424</t>
  </si>
  <si>
    <t>Z6368BC</t>
  </si>
  <si>
    <t>J1410</t>
  </si>
  <si>
    <t>4184</t>
  </si>
  <si>
    <t>J1412</t>
  </si>
  <si>
    <t>14447, The Dorchester Group</t>
  </si>
  <si>
    <t>2019025</t>
  </si>
  <si>
    <t>J1012</t>
  </si>
  <si>
    <t>Z6591BC</t>
  </si>
  <si>
    <t>J1418</t>
  </si>
  <si>
    <t>14459, MRSB Chartered Accountants</t>
  </si>
  <si>
    <t>C004197</t>
  </si>
  <si>
    <t>J1382</t>
  </si>
  <si>
    <t>6873BC</t>
  </si>
  <si>
    <t>J1420</t>
  </si>
  <si>
    <t>14499, MRSB Chartered Accountants</t>
  </si>
  <si>
    <t>J1422</t>
  </si>
  <si>
    <t>Z7216BC</t>
  </si>
  <si>
    <t>J1438</t>
  </si>
  <si>
    <t>Z7515BC</t>
  </si>
  <si>
    <t>J1492</t>
  </si>
  <si>
    <t>Z8036BC</t>
  </si>
  <si>
    <t>J1653</t>
  </si>
  <si>
    <t>8344BC</t>
  </si>
  <si>
    <t>J1810</t>
  </si>
  <si>
    <t>14742, MRSB Chartered Accountants</t>
  </si>
  <si>
    <t>9073BC</t>
  </si>
  <si>
    <t>J1976</t>
  </si>
  <si>
    <t>5345</t>
  </si>
  <si>
    <t>Professional Fees - Legal</t>
  </si>
  <si>
    <t>McLellan Brennan</t>
  </si>
  <si>
    <t>Sept32019</t>
  </si>
  <si>
    <t>J979</t>
  </si>
  <si>
    <t>5346</t>
  </si>
  <si>
    <t>Office snow removal</t>
  </si>
  <si>
    <t>Distribution Snow Removal Costs 19/20 Parking Lots</t>
  </si>
  <si>
    <t>J2202</t>
  </si>
  <si>
    <t>5347</t>
  </si>
  <si>
    <t>Professional Fees - Planning</t>
  </si>
  <si>
    <t>5348</t>
  </si>
  <si>
    <t>John Deere Tractor  Desiel&amp;Repairs</t>
  </si>
  <si>
    <t>Green Diamond Equipment</t>
  </si>
  <si>
    <t>161291</t>
  </si>
  <si>
    <t>J608</t>
  </si>
  <si>
    <t>Bernard Welding Limited</t>
  </si>
  <si>
    <t>98891</t>
  </si>
  <si>
    <t>J1547</t>
  </si>
  <si>
    <t>1728162</t>
  </si>
  <si>
    <t>J1589</t>
  </si>
  <si>
    <t>John Deere Financial</t>
  </si>
  <si>
    <t>J1692</t>
  </si>
  <si>
    <t>14749, Ceretti's Grocery &amp; Hardware</t>
  </si>
  <si>
    <t>J1983</t>
  </si>
  <si>
    <t>5349</t>
  </si>
  <si>
    <t>Zero Turn Repairs &amp; Main</t>
  </si>
  <si>
    <t>14232, Petty Cash</t>
  </si>
  <si>
    <t>May282019</t>
  </si>
  <si>
    <t>J545</t>
  </si>
  <si>
    <t>97390</t>
  </si>
  <si>
    <t>J637</t>
  </si>
  <si>
    <t>97391</t>
  </si>
  <si>
    <t>J654</t>
  </si>
  <si>
    <t>1639298</t>
  </si>
  <si>
    <t>J793</t>
  </si>
  <si>
    <t>1640522</t>
  </si>
  <si>
    <t>J851</t>
  </si>
  <si>
    <t>1654272</t>
  </si>
  <si>
    <t>J880</t>
  </si>
  <si>
    <t>97920</t>
  </si>
  <si>
    <t>J937</t>
  </si>
  <si>
    <t>1665051</t>
  </si>
  <si>
    <t>J936</t>
  </si>
  <si>
    <t>08-27-2019 nsd</t>
  </si>
  <si>
    <t>J2094</t>
  </si>
  <si>
    <t>5350</t>
  </si>
  <si>
    <t>Rent - Municipal Office</t>
  </si>
  <si>
    <t>Prince Edward Island Potato Board</t>
  </si>
  <si>
    <t>1048234</t>
  </si>
  <si>
    <t>J448</t>
  </si>
  <si>
    <t>1048240June</t>
  </si>
  <si>
    <t>J613</t>
  </si>
  <si>
    <t>1048251</t>
  </si>
  <si>
    <t>J752</t>
  </si>
  <si>
    <t>1048264</t>
  </si>
  <si>
    <t>J884</t>
  </si>
  <si>
    <t>14449, Prince Edward Island Potato Board</t>
  </si>
  <si>
    <t>1048268</t>
  </si>
  <si>
    <t>J1014</t>
  </si>
  <si>
    <t>1048288</t>
  </si>
  <si>
    <t>J1200</t>
  </si>
  <si>
    <t>1048289</t>
  </si>
  <si>
    <t>J1201</t>
  </si>
  <si>
    <t>1048306</t>
  </si>
  <si>
    <t>J1493</t>
  </si>
  <si>
    <t>1048312</t>
  </si>
  <si>
    <t>J1650</t>
  </si>
  <si>
    <t>1048318</t>
  </si>
  <si>
    <t>J1786</t>
  </si>
  <si>
    <t>1048324</t>
  </si>
  <si>
    <t>J1922</t>
  </si>
  <si>
    <t>5351</t>
  </si>
  <si>
    <t>Advertising</t>
  </si>
  <si>
    <t>The Dorchester Group</t>
  </si>
  <si>
    <t>2019-020</t>
  </si>
  <si>
    <t>J750</t>
  </si>
  <si>
    <t>MJS Marketing &amp; Promotions</t>
  </si>
  <si>
    <t>2675024</t>
  </si>
  <si>
    <t>J1063</t>
  </si>
  <si>
    <t>SaltWire Network</t>
  </si>
  <si>
    <t>25438</t>
  </si>
  <si>
    <t>J1111</t>
  </si>
  <si>
    <t>14562, MJS Marketing &amp; Promotions</t>
  </si>
  <si>
    <t>2670035</t>
  </si>
  <si>
    <t>J1347</t>
  </si>
  <si>
    <t>14564, Kinkora Regional High School</t>
  </si>
  <si>
    <t>Yearbook Ad 2020</t>
  </si>
  <si>
    <t>J1349</t>
  </si>
  <si>
    <t>14570, MJS Marketing &amp; Promotions</t>
  </si>
  <si>
    <t>2680075</t>
  </si>
  <si>
    <t>J1451</t>
  </si>
  <si>
    <t>2684050</t>
  </si>
  <si>
    <t>J1588</t>
  </si>
  <si>
    <t>29095</t>
  </si>
  <si>
    <t>J1950</t>
  </si>
  <si>
    <t>5353</t>
  </si>
  <si>
    <t>Donations/Scholarship/Prizes</t>
  </si>
  <si>
    <t>14169, Kinkora Regional High School</t>
  </si>
  <si>
    <t>J398</t>
  </si>
  <si>
    <t>14170, Royal Canadian Legion, BR#10</t>
  </si>
  <si>
    <t>April192019</t>
  </si>
  <si>
    <t>J399</t>
  </si>
  <si>
    <t>14174, ACC Breakfast Program</t>
  </si>
  <si>
    <t>J409</t>
  </si>
  <si>
    <t>14209, Stewart-Howatt, Brandon</t>
  </si>
  <si>
    <t>May212019</t>
  </si>
  <si>
    <t>J498</t>
  </si>
  <si>
    <t>14210, BAMBA</t>
  </si>
  <si>
    <t>2019May21</t>
  </si>
  <si>
    <t>J499</t>
  </si>
  <si>
    <t>J1293</t>
  </si>
  <si>
    <t>14258, Dalhousie University</t>
  </si>
  <si>
    <t>J626</t>
  </si>
  <si>
    <t>14260, Amherst Cove Consolidated School</t>
  </si>
  <si>
    <t>J628</t>
  </si>
  <si>
    <t>14321, Holly Bernard</t>
  </si>
  <si>
    <t>J746</t>
  </si>
  <si>
    <t>14563, Kinkora Regional High School</t>
  </si>
  <si>
    <t>Nov 2019</t>
  </si>
  <si>
    <t>J1348</t>
  </si>
  <si>
    <t>Borden-Carleton Senior's Club</t>
  </si>
  <si>
    <t>J1819</t>
  </si>
  <si>
    <t>5355</t>
  </si>
  <si>
    <t>14183, Sherry, Tasha</t>
  </si>
  <si>
    <t>J418</t>
  </si>
  <si>
    <t>14196, Bernard, Dennis</t>
  </si>
  <si>
    <t>May032019</t>
  </si>
  <si>
    <t>J453</t>
  </si>
  <si>
    <t>14234, Sherry, Tasha</t>
  </si>
  <si>
    <t>May312019</t>
  </si>
  <si>
    <t>J547</t>
  </si>
  <si>
    <t>14229, Sherry, Tasha</t>
  </si>
  <si>
    <t>J537</t>
  </si>
  <si>
    <t>14237, Holly Bernard</t>
  </si>
  <si>
    <t>June42019</t>
  </si>
  <si>
    <t>J552</t>
  </si>
  <si>
    <t>14256, Holly Bernard</t>
  </si>
  <si>
    <t>June13209</t>
  </si>
  <si>
    <t>J623</t>
  </si>
  <si>
    <t>14277, Sherry, Tasha</t>
  </si>
  <si>
    <t>J651</t>
  </si>
  <si>
    <t>14365, Sherry, Tasha</t>
  </si>
  <si>
    <t>J837</t>
  </si>
  <si>
    <t>14414, Sherry, Tasha</t>
  </si>
  <si>
    <t>September2019</t>
  </si>
  <si>
    <t>J952</t>
  </si>
  <si>
    <t>144782, Sherry, Tasha</t>
  </si>
  <si>
    <t>J1052</t>
  </si>
  <si>
    <t>14524, Sherry, Tasha</t>
  </si>
  <si>
    <t>Nov2019</t>
  </si>
  <si>
    <t>J1133</t>
  </si>
  <si>
    <t>14551, Sherry, Tasha</t>
  </si>
  <si>
    <t>J1259</t>
  </si>
  <si>
    <t>14612, Sherry, Tasha</t>
  </si>
  <si>
    <t>J1552</t>
  </si>
  <si>
    <t>14663, Holly Bernard</t>
  </si>
  <si>
    <t>Jan2420</t>
  </si>
  <si>
    <t>J1704</t>
  </si>
  <si>
    <t>14646, Sherry, Tasha</t>
  </si>
  <si>
    <t>February20</t>
  </si>
  <si>
    <t>J1682</t>
  </si>
  <si>
    <t>14693, Sherry, Tasha</t>
  </si>
  <si>
    <t>J1844</t>
  </si>
  <si>
    <t>14761*, McIsaac, Wendy</t>
  </si>
  <si>
    <t>2020-02</t>
  </si>
  <si>
    <t>J1992</t>
  </si>
  <si>
    <t>5356</t>
  </si>
  <si>
    <t>Truck Allowance Mtce Man</t>
  </si>
  <si>
    <t>14182, Bernard, Dennis</t>
  </si>
  <si>
    <t>J417</t>
  </si>
  <si>
    <t>14228, Bernard, Dennis</t>
  </si>
  <si>
    <t>J536</t>
  </si>
  <si>
    <t>14276, Bernard, Dennis</t>
  </si>
  <si>
    <t>J650</t>
  </si>
  <si>
    <t>14364, Bernard, Dennis</t>
  </si>
  <si>
    <t>J836</t>
  </si>
  <si>
    <t>14413, Bernard, Dennis</t>
  </si>
  <si>
    <t>J951</t>
  </si>
  <si>
    <t>144781, Bernard, Dennis</t>
  </si>
  <si>
    <t>J1051</t>
  </si>
  <si>
    <t>14523, Bernard, Dennis</t>
  </si>
  <si>
    <t>J1132</t>
  </si>
  <si>
    <t>14549, Bernard, Dennis</t>
  </si>
  <si>
    <t>J1257</t>
  </si>
  <si>
    <t>14610, Bernard, Dennis</t>
  </si>
  <si>
    <t>J1550</t>
  </si>
  <si>
    <t>14645, Bernard, Dennis</t>
  </si>
  <si>
    <t>J1681</t>
  </si>
  <si>
    <t>14691, Bernard, Dennis</t>
  </si>
  <si>
    <t>J1842</t>
  </si>
  <si>
    <t>GSHT INCLUDED IN DENNIS TRAVEL ALLOWANCE 12X26.09</t>
  </si>
  <si>
    <t>JE-JW HST</t>
  </si>
  <si>
    <t>J2195</t>
  </si>
  <si>
    <t>5357</t>
  </si>
  <si>
    <t>5358</t>
  </si>
  <si>
    <t>Insurance John Deere Tractor</t>
  </si>
  <si>
    <t>5361</t>
  </si>
  <si>
    <t>14233, MacKenzie Charles</t>
  </si>
  <si>
    <t>J546</t>
  </si>
  <si>
    <t>Feb062020</t>
  </si>
  <si>
    <t>J1759</t>
  </si>
  <si>
    <t>5362</t>
  </si>
  <si>
    <t>Office Supplies</t>
  </si>
  <si>
    <t>112678</t>
  </si>
  <si>
    <t>J366</t>
  </si>
  <si>
    <t>Desjardins Card Services</t>
  </si>
  <si>
    <t>J525</t>
  </si>
  <si>
    <t>J1287</t>
  </si>
  <si>
    <t>J717</t>
  </si>
  <si>
    <t>J879</t>
  </si>
  <si>
    <t>J1110</t>
  </si>
  <si>
    <t>14503, Petty Cash</t>
  </si>
  <si>
    <t>Oct152019</t>
  </si>
  <si>
    <t>J1107</t>
  </si>
  <si>
    <t>14529, Deluxe</t>
  </si>
  <si>
    <t>21909089613</t>
  </si>
  <si>
    <t>J1638</t>
  </si>
  <si>
    <t>Oct. 2019</t>
  </si>
  <si>
    <t>J1387</t>
  </si>
  <si>
    <t>55111516</t>
  </si>
  <si>
    <t>J1486</t>
  </si>
  <si>
    <t>J1620</t>
  </si>
  <si>
    <t>J1717</t>
  </si>
  <si>
    <t>HMS Office Supplies</t>
  </si>
  <si>
    <t>779292</t>
  </si>
  <si>
    <t>J1690</t>
  </si>
  <si>
    <t>January20</t>
  </si>
  <si>
    <t>J1833</t>
  </si>
  <si>
    <t>148544</t>
  </si>
  <si>
    <t>J2001</t>
  </si>
  <si>
    <t>5363</t>
  </si>
  <si>
    <t>Postage and Courier</t>
  </si>
  <si>
    <t>5364</t>
  </si>
  <si>
    <t>Postage</t>
  </si>
  <si>
    <t>14231, Canada Post</t>
  </si>
  <si>
    <t>J543</t>
  </si>
  <si>
    <t>Cash, Canada Post</t>
  </si>
  <si>
    <t>11/05/19</t>
  </si>
  <si>
    <t>J1455</t>
  </si>
  <si>
    <t>11/29/19</t>
  </si>
  <si>
    <t>J1433</t>
  </si>
  <si>
    <t>Dec3119</t>
  </si>
  <si>
    <t>J1778</t>
  </si>
  <si>
    <t>Jan072020</t>
  </si>
  <si>
    <t>J1775</t>
  </si>
  <si>
    <t>January1620</t>
  </si>
  <si>
    <t>J1769</t>
  </si>
  <si>
    <t>Jan1620</t>
  </si>
  <si>
    <t>J1777</t>
  </si>
  <si>
    <t>Feb. 2020</t>
  </si>
  <si>
    <t>J1886</t>
  </si>
  <si>
    <t>03/10/2020</t>
  </si>
  <si>
    <t>J2056</t>
  </si>
  <si>
    <t>03-13-2020</t>
  </si>
  <si>
    <t>J2057</t>
  </si>
  <si>
    <t>5365</t>
  </si>
  <si>
    <t>Computer Repairs &amp; Main.</t>
  </si>
  <si>
    <t>Sites &amp; Bytes</t>
  </si>
  <si>
    <t>32075</t>
  </si>
  <si>
    <t>J984</t>
  </si>
  <si>
    <t>Compass Technology Solutions</t>
  </si>
  <si>
    <t>754</t>
  </si>
  <si>
    <t>J1080</t>
  </si>
  <si>
    <t>5367</t>
  </si>
  <si>
    <t>Honariums - Guaranteed</t>
  </si>
  <si>
    <t>14175, Ahearn, Randy</t>
  </si>
  <si>
    <t>J410</t>
  </si>
  <si>
    <t>14176, Allen, Larry</t>
  </si>
  <si>
    <t>J411</t>
  </si>
  <si>
    <t>14177, Bernard Arsenault, Nicole</t>
  </si>
  <si>
    <t>J412</t>
  </si>
  <si>
    <t>14178, Palmer Thompson, Laurel</t>
  </si>
  <si>
    <t>J413</t>
  </si>
  <si>
    <t>14179, Wood Barb</t>
  </si>
  <si>
    <t>J414</t>
  </si>
  <si>
    <t>14180, Leard, Fred</t>
  </si>
  <si>
    <t>J415</t>
  </si>
  <si>
    <t>14181, MacKenzie Charles</t>
  </si>
  <si>
    <t>J416</t>
  </si>
  <si>
    <t>14221, Ahearn, Randy</t>
  </si>
  <si>
    <t>J529</t>
  </si>
  <si>
    <t>14222, Allen, Larry</t>
  </si>
  <si>
    <t>J530</t>
  </si>
  <si>
    <t>14223, Bernard Arsenault, Nicole</t>
  </si>
  <si>
    <t>J531</t>
  </si>
  <si>
    <t>14224, Leard, Fred</t>
  </si>
  <si>
    <t>J532</t>
  </si>
  <si>
    <t>14225, MacKenzie Charles</t>
  </si>
  <si>
    <t>J533</t>
  </si>
  <si>
    <t>14226, Palmer Thompson, Laurel</t>
  </si>
  <si>
    <t>J534</t>
  </si>
  <si>
    <t>14227, Wood Barb</t>
  </si>
  <si>
    <t>J535</t>
  </si>
  <si>
    <t>14269, Ahearn, Randy</t>
  </si>
  <si>
    <t>J643</t>
  </si>
  <si>
    <t>14270, Allen, Larry</t>
  </si>
  <si>
    <t>J644</t>
  </si>
  <si>
    <t>14271, Bernard Arsenault, Nicole</t>
  </si>
  <si>
    <t>J645</t>
  </si>
  <si>
    <t>14272, Palmer Thompson, Laurel</t>
  </si>
  <si>
    <t>J646</t>
  </si>
  <si>
    <t>14273, Wood Barb</t>
  </si>
  <si>
    <t>J647</t>
  </si>
  <si>
    <t>14274, Leard, Fred</t>
  </si>
  <si>
    <t>J648</t>
  </si>
  <si>
    <t>14275, MacKenzie Charles</t>
  </si>
  <si>
    <t>J649</t>
  </si>
  <si>
    <t>14357, Ahearn, Randy</t>
  </si>
  <si>
    <t>J829</t>
  </si>
  <si>
    <t>14358, Allen, Larry</t>
  </si>
  <si>
    <t>J830</t>
  </si>
  <si>
    <t>14359, Bernard Arsenault, Nicole</t>
  </si>
  <si>
    <t>J831</t>
  </si>
  <si>
    <t>14360, Wood Barb</t>
  </si>
  <si>
    <t>J832</t>
  </si>
  <si>
    <t>14361, Palmer Thompson, Laurel</t>
  </si>
  <si>
    <t>J833</t>
  </si>
  <si>
    <t>14362, Leard, Fred</t>
  </si>
  <si>
    <t>J834</t>
  </si>
  <si>
    <t>14363, MacKenzie Charles</t>
  </si>
  <si>
    <t>J835</t>
  </si>
  <si>
    <t>14406, Ahearn, Randy</t>
  </si>
  <si>
    <t>J944</t>
  </si>
  <si>
    <t>14407, Allen, Larry</t>
  </si>
  <si>
    <t>J945</t>
  </si>
  <si>
    <t>14408, Bernard Arsenault, Nicole</t>
  </si>
  <si>
    <t>J946</t>
  </si>
  <si>
    <t>14409, Palmer Thompson, Laurel</t>
  </si>
  <si>
    <t>J947</t>
  </si>
  <si>
    <t>14410, Wood Barb</t>
  </si>
  <si>
    <t>J948</t>
  </si>
  <si>
    <t>14411, Leard, Fred</t>
  </si>
  <si>
    <t>J949</t>
  </si>
  <si>
    <t>14412, MacKenzie Charles</t>
  </si>
  <si>
    <t>J950</t>
  </si>
  <si>
    <t>144774, Ahearn, Randy</t>
  </si>
  <si>
    <t>J1044</t>
  </si>
  <si>
    <t>144775, Allen, Larry</t>
  </si>
  <si>
    <t>J1045</t>
  </si>
  <si>
    <t>144776, Bernard Arsenault, Nicole</t>
  </si>
  <si>
    <t>J1046</t>
  </si>
  <si>
    <t>144777, Palmer Thompson, Laurel</t>
  </si>
  <si>
    <t>J1047</t>
  </si>
  <si>
    <t>144778, Wood Barb</t>
  </si>
  <si>
    <t>J1048</t>
  </si>
  <si>
    <t>144779, Leard, Fred</t>
  </si>
  <si>
    <t>J1049</t>
  </si>
  <si>
    <t>144780, MacKenzie Charles</t>
  </si>
  <si>
    <t>J1050</t>
  </si>
  <si>
    <t>14516, Ahearn, Randy</t>
  </si>
  <si>
    <t>J1125</t>
  </si>
  <si>
    <t>14517, Allen, Larry</t>
  </si>
  <si>
    <t>J1126</t>
  </si>
  <si>
    <t>14518, Bernard Arsenault, Nicole</t>
  </si>
  <si>
    <t>J1127</t>
  </si>
  <si>
    <t>14519, Palmer Thompson, Laurel</t>
  </si>
  <si>
    <t>J1128</t>
  </si>
  <si>
    <t>14520, Wood Barb</t>
  </si>
  <si>
    <t>J1129</t>
  </si>
  <si>
    <t>14521, Leard, Fred</t>
  </si>
  <si>
    <t>J1130</t>
  </si>
  <si>
    <t>14522, MacKenzie Charles</t>
  </si>
  <si>
    <t>J1131</t>
  </si>
  <si>
    <t>14542, Ahearn, Randy</t>
  </si>
  <si>
    <t>J1250</t>
  </si>
  <si>
    <t>14543, Allen, Larry</t>
  </si>
  <si>
    <t>J1251</t>
  </si>
  <si>
    <t>14544, Bernard Arsenault, Nicole</t>
  </si>
  <si>
    <t>J1252</t>
  </si>
  <si>
    <t>14545, Wood Barb</t>
  </si>
  <si>
    <t>J1253</t>
  </si>
  <si>
    <t>14546, Palmer Thompson, Laurel</t>
  </si>
  <si>
    <t>J1254</t>
  </si>
  <si>
    <t>14547, Leard, Fred</t>
  </si>
  <si>
    <t>J1255</t>
  </si>
  <si>
    <t>14548, MacKenzie Charles</t>
  </si>
  <si>
    <t>J1256</t>
  </si>
  <si>
    <t>14600, MacKenzie Charles</t>
  </si>
  <si>
    <t>January 2020</t>
  </si>
  <si>
    <t>J1518</t>
  </si>
  <si>
    <t>14601, Wood Barb</t>
  </si>
  <si>
    <t>Janaury 202</t>
  </si>
  <si>
    <t>J1519</t>
  </si>
  <si>
    <t>14602, Leard, Fred</t>
  </si>
  <si>
    <t>J1520</t>
  </si>
  <si>
    <t>14603, Allen, Larry</t>
  </si>
  <si>
    <t>January 202</t>
  </si>
  <si>
    <t>J1521</t>
  </si>
  <si>
    <t>14604, Palmer Thompson, Laurel</t>
  </si>
  <si>
    <t>J1522</t>
  </si>
  <si>
    <t>14605, Bernard Arsenault, Nicole</t>
  </si>
  <si>
    <t>J1523</t>
  </si>
  <si>
    <t>14606, Ahearn, Randy</t>
  </si>
  <si>
    <t>J1524</t>
  </si>
  <si>
    <t>14647, Wood Barb</t>
  </si>
  <si>
    <t>J1683</t>
  </si>
  <si>
    <t>14648, Palmer Thompson, Laurel</t>
  </si>
  <si>
    <t>J1684</t>
  </si>
  <si>
    <t>14649, Bernard Arsenault, Nicole</t>
  </si>
  <si>
    <t>J1685</t>
  </si>
  <si>
    <t>14650, Allen, Larry</t>
  </si>
  <si>
    <t>J1686</t>
  </si>
  <si>
    <t>14651, Ahearn, Randy</t>
  </si>
  <si>
    <t>J1687</t>
  </si>
  <si>
    <t>14653, MacKenzie Charles</t>
  </si>
  <si>
    <t>J1689</t>
  </si>
  <si>
    <t>14685, Wood Barb</t>
  </si>
  <si>
    <t>J1836</t>
  </si>
  <si>
    <t>14686, Palmer Thompson, Laurel</t>
  </si>
  <si>
    <t>J1837</t>
  </si>
  <si>
    <t>14687, Bernard Arsenault, Nicole</t>
  </si>
  <si>
    <t>J1838</t>
  </si>
  <si>
    <t>14688, Ahearn, Randy</t>
  </si>
  <si>
    <t>MArch20</t>
  </si>
  <si>
    <t>J1839</t>
  </si>
  <si>
    <t>14689, Allen, Larry</t>
  </si>
  <si>
    <t>J1840</t>
  </si>
  <si>
    <t>14690, MacKenzie Charles</t>
  </si>
  <si>
    <t>J1841</t>
  </si>
  <si>
    <t>5369</t>
  </si>
  <si>
    <t>Honorariums - Meetings</t>
  </si>
  <si>
    <t>5372</t>
  </si>
  <si>
    <t>Legion Tax Rebate</t>
  </si>
  <si>
    <t>5373</t>
  </si>
  <si>
    <t>Playground Equipment other expense</t>
  </si>
  <si>
    <t>5375</t>
  </si>
  <si>
    <t>14540, Federation of Canadian Municipality</t>
  </si>
  <si>
    <t>J1245</t>
  </si>
  <si>
    <t>5376</t>
  </si>
  <si>
    <t>Community Special Events</t>
  </si>
  <si>
    <t>14219, PEILCC</t>
  </si>
  <si>
    <t>May232019</t>
  </si>
  <si>
    <t>J524</t>
  </si>
  <si>
    <t>Palmer-Thompson Laurel</t>
  </si>
  <si>
    <t>1202</t>
  </si>
  <si>
    <t>J606</t>
  </si>
  <si>
    <t>14579, Muttart, Jenna</t>
  </si>
  <si>
    <t>Xmas in the Park</t>
  </si>
  <si>
    <t>J1479</t>
  </si>
  <si>
    <t>14578, Thompson-Palmer, Laurel</t>
  </si>
  <si>
    <t>J1477</t>
  </si>
  <si>
    <t>5377</t>
  </si>
  <si>
    <t>xxx</t>
  </si>
  <si>
    <t>5378</t>
  </si>
  <si>
    <t>Town Miscellaneous</t>
  </si>
  <si>
    <t>14161, MacKenzie Charles</t>
  </si>
  <si>
    <t>April122019</t>
  </si>
  <si>
    <t>J375</t>
  </si>
  <si>
    <t>Daniel &amp; Suzanne MacKenzie</t>
  </si>
  <si>
    <t>J607</t>
  </si>
  <si>
    <t>14263, Donna &amp; Dean Taylor</t>
  </si>
  <si>
    <t>J631</t>
  </si>
  <si>
    <t>14393, Moores, Wallace and Mary</t>
  </si>
  <si>
    <t>J901</t>
  </si>
  <si>
    <t>Cash, Donna &amp; Dean Taylor</t>
  </si>
  <si>
    <t>294784</t>
  </si>
  <si>
    <t>J1180</t>
  </si>
  <si>
    <t>14462, On The Go Property Maintenance</t>
  </si>
  <si>
    <t>18129</t>
  </si>
  <si>
    <t>J1029</t>
  </si>
  <si>
    <t>14565, Kelly's Flower Shoppe (1987) Ltd</t>
  </si>
  <si>
    <t>096255</t>
  </si>
  <si>
    <t>J1350</t>
  </si>
  <si>
    <t>Walmart</t>
  </si>
  <si>
    <t>December192019</t>
  </si>
  <si>
    <t>J1591</t>
  </si>
  <si>
    <t>reverse duplicate</t>
  </si>
  <si>
    <t>J2101</t>
  </si>
  <si>
    <t>5379</t>
  </si>
  <si>
    <t>5381</t>
  </si>
  <si>
    <t>Election Expenses</t>
  </si>
  <si>
    <t>5383</t>
  </si>
  <si>
    <t>meal expense</t>
  </si>
  <si>
    <t>Cash, Tim Horton's</t>
  </si>
  <si>
    <t>11/22/19</t>
  </si>
  <si>
    <t>J1435</t>
  </si>
  <si>
    <t>5385</t>
  </si>
  <si>
    <t>Unsightly Property Repairs</t>
  </si>
  <si>
    <t>5386</t>
  </si>
  <si>
    <t>Utility - Fire Protection Service</t>
  </si>
  <si>
    <t>5387</t>
  </si>
  <si>
    <t>Utility Share of General</t>
  </si>
  <si>
    <t>General Share Water &amp; Sewer YTD</t>
  </si>
  <si>
    <t>J1802</t>
  </si>
  <si>
    <t>General Share Water &amp; Sewer for January</t>
  </si>
  <si>
    <t>J1803</t>
  </si>
  <si>
    <t>General Share Water &amp; Sewer for February</t>
  </si>
  <si>
    <t>J1913</t>
  </si>
  <si>
    <t>General Share Water &amp; Sewer for March</t>
  </si>
  <si>
    <t>J2075</t>
  </si>
  <si>
    <t>5388</t>
  </si>
  <si>
    <t>Summer salaries &amp; benefits - tempor</t>
  </si>
  <si>
    <t>5389</t>
  </si>
  <si>
    <t>General Share of building</t>
  </si>
  <si>
    <t>5391</t>
  </si>
  <si>
    <t>Wages &amp; Salaries</t>
  </si>
  <si>
    <t>5392</t>
  </si>
  <si>
    <t>CPP Expense</t>
  </si>
  <si>
    <t>5393</t>
  </si>
  <si>
    <t>EI Expense</t>
  </si>
  <si>
    <t>5396</t>
  </si>
  <si>
    <t>Disability Insurance Deducted</t>
  </si>
  <si>
    <t>Generated On: Mar 14, 2021</t>
  </si>
  <si>
    <t>PW</t>
  </si>
  <si>
    <t>Sub-total</t>
  </si>
  <si>
    <t>TOTAL OPERATING  EXPENDITURES</t>
  </si>
  <si>
    <t>Capital Expenditures (ARENA)</t>
  </si>
  <si>
    <t>Capital Expenditures (TOWN)</t>
  </si>
  <si>
    <t>Capital Financied by Loans</t>
  </si>
  <si>
    <t>Total Capital Expenditures</t>
  </si>
  <si>
    <t>Total Capital Financing</t>
  </si>
  <si>
    <t xml:space="preserve">NET CAPITAL FROM REVENUE </t>
  </si>
  <si>
    <t>see below</t>
  </si>
  <si>
    <t>ED</t>
  </si>
  <si>
    <t>RC</t>
  </si>
  <si>
    <t>JOURNAL ENTRY</t>
  </si>
  <si>
    <t>Interest Long Term Debt</t>
  </si>
  <si>
    <t>Legion Tax Rebate &amp; Others</t>
  </si>
  <si>
    <t>Property Tax Rebates</t>
  </si>
  <si>
    <t>GENERAL GOVERNMENT COSTS 2019/20</t>
  </si>
  <si>
    <t>Miscellaneous</t>
  </si>
  <si>
    <t>Interest on Long Term Debt</t>
  </si>
  <si>
    <t>Conferences and Travel</t>
  </si>
  <si>
    <t>Repairs &amp; Maintenance</t>
  </si>
  <si>
    <t>Not Recreation</t>
  </si>
  <si>
    <t>Dues/FCM/FPEIM Memberships</t>
  </si>
  <si>
    <t>CAPITAL</t>
  </si>
  <si>
    <t>Destination Borden/Carleton</t>
  </si>
  <si>
    <t>Rebate applied for 2018/18 and 2019/20</t>
  </si>
  <si>
    <t>Where does Water Bill for Maint shop go</t>
  </si>
  <si>
    <t>Principal Payments - Storage Shed Loan</t>
  </si>
  <si>
    <t>GENERAL GOV'TMENT SERVICES (ADMINISTRATION)</t>
  </si>
  <si>
    <t>Principal Repayment - Fire Truck</t>
  </si>
  <si>
    <t>Debt Repayment Public Works</t>
  </si>
  <si>
    <t>Travel</t>
  </si>
  <si>
    <t>Did Water Utility Share in these Costs</t>
  </si>
  <si>
    <t>GATEWAY ARENA</t>
  </si>
  <si>
    <t>on town books</t>
  </si>
  <si>
    <t>Is garbage on Arena Tax Bill</t>
  </si>
  <si>
    <t>Garbage Collection-Spring Clean Up</t>
  </si>
  <si>
    <t>Storage Shed</t>
  </si>
  <si>
    <t>PRINCIPAL REPAYMENTS</t>
  </si>
  <si>
    <t>POLICE SERVICES</t>
  </si>
  <si>
    <t>Sub Total Before Allocation</t>
  </si>
  <si>
    <t>Library(BELL) Total</t>
  </si>
  <si>
    <t>Misc Property</t>
  </si>
  <si>
    <t>Misc. property total</t>
  </si>
  <si>
    <t>Policing Contract RCMP</t>
  </si>
  <si>
    <t>Capital Expenditures /Revenue (net)</t>
  </si>
  <si>
    <t>SURPLUS/DEFICIT BEFORE CAPITAL</t>
  </si>
  <si>
    <t>capital deducted 22,777</t>
  </si>
  <si>
    <t>Revenues</t>
  </si>
  <si>
    <t>Expenses</t>
  </si>
  <si>
    <t>2020/21</t>
  </si>
  <si>
    <t>Heart Logo</t>
  </si>
  <si>
    <t>Linda</t>
  </si>
  <si>
    <t>Copywright Costs - Heart</t>
  </si>
  <si>
    <t>Rezoning in 2020</t>
  </si>
  <si>
    <t>Snow Removal Costs</t>
  </si>
  <si>
    <t>M</t>
  </si>
  <si>
    <t>Didtribution incorrect in 2019/20</t>
  </si>
  <si>
    <t>3.5% increase</t>
  </si>
  <si>
    <t>Mostly Garbage Pick Up</t>
  </si>
  <si>
    <t>???</t>
  </si>
  <si>
    <t>Insurance not Distributed Correctly</t>
  </si>
  <si>
    <t>under Fire Dept</t>
  </si>
  <si>
    <t>does not incInc Snow Removal</t>
  </si>
  <si>
    <t>Retender Re Insurance</t>
  </si>
  <si>
    <t>PROJECTED</t>
  </si>
  <si>
    <t>review</t>
  </si>
  <si>
    <t>tools</t>
  </si>
  <si>
    <t>Zero Turn Mower Gas/Repairs</t>
  </si>
  <si>
    <t>Storm Serwer</t>
  </si>
  <si>
    <t>Debt Repayment Water Utility Loan(abby)</t>
  </si>
  <si>
    <t>Storm Sewer</t>
  </si>
  <si>
    <t>Re-allocated 2,000 liability insurance to Fire Dept</t>
  </si>
  <si>
    <t>Ins increase 11%</t>
  </si>
  <si>
    <t>more activities in 2021</t>
  </si>
  <si>
    <t>boardwalk</t>
  </si>
  <si>
    <t>Summer Arena</t>
  </si>
  <si>
    <t>COVID-19</t>
  </si>
  <si>
    <t>Bylaw chgs</t>
  </si>
  <si>
    <t xml:space="preserve"> Museum/Caboose/Lighthouse</t>
  </si>
  <si>
    <t>Pager System</t>
  </si>
  <si>
    <t>COVID -19</t>
  </si>
  <si>
    <t>Land Old School from Utility</t>
  </si>
  <si>
    <t>Material Garbage Bins</t>
  </si>
  <si>
    <t>Liabily,  20%to Fire</t>
  </si>
  <si>
    <t>FCM</t>
  </si>
  <si>
    <t>FPEI</t>
  </si>
  <si>
    <t>Property Tax Rebates Inc Legion</t>
  </si>
  <si>
    <t>More communications to be sent</t>
  </si>
  <si>
    <t>(Not Capital)</t>
  </si>
  <si>
    <t>why has bill doubled</t>
  </si>
  <si>
    <t>Repairs &amp; 3 Pagers</t>
  </si>
  <si>
    <t>Will change if Water rates Change</t>
  </si>
  <si>
    <t>Library Repairs/supplies/Cleaning</t>
  </si>
  <si>
    <t>Inc Cleaning</t>
  </si>
  <si>
    <t>Wages &amp; Benefits</t>
  </si>
  <si>
    <t>Inc Water/Sewer/Cleaning</t>
  </si>
  <si>
    <t>RECAPP SALARIES &amp; BENEFITS</t>
  </si>
  <si>
    <t>Salaries and Benefits Gen Govt</t>
  </si>
  <si>
    <t>Wages &amp; Benefits Street</t>
  </si>
  <si>
    <t>Salaries and Benefits  Recreation</t>
  </si>
  <si>
    <t>Accounting Services</t>
  </si>
  <si>
    <t>Total Wages</t>
  </si>
  <si>
    <t xml:space="preserve">Employment Grants </t>
  </si>
  <si>
    <t>NET WAGES</t>
  </si>
  <si>
    <t>more numbers</t>
  </si>
  <si>
    <t>consider rate increase</t>
  </si>
  <si>
    <t>$5dollar</t>
  </si>
  <si>
    <t>Canteen??</t>
  </si>
  <si>
    <t>every free skate should be sponsored</t>
  </si>
  <si>
    <t>canteen prompotions/specials</t>
  </si>
  <si>
    <t>for Capital</t>
  </si>
  <si>
    <t>Office &amp; Admin Supplies</t>
  </si>
  <si>
    <t>Land 240 Borden Avenue</t>
  </si>
  <si>
    <t>What improvements to make</t>
  </si>
  <si>
    <t>sub-total</t>
  </si>
  <si>
    <t>Janitorial Services</t>
  </si>
  <si>
    <t>Leadership Grant Recreation</t>
  </si>
  <si>
    <t>Janitorial Services Fire Hall</t>
  </si>
  <si>
    <t>Janitorial Services - Library</t>
  </si>
  <si>
    <t>Grants -wages ARENA</t>
  </si>
  <si>
    <t>re look at in 2021</t>
  </si>
  <si>
    <t>relook at for 2021</t>
  </si>
  <si>
    <t>to be prommoted</t>
  </si>
  <si>
    <t>If Grant for Cleaner is obtained</t>
  </si>
  <si>
    <t>2021/21</t>
  </si>
  <si>
    <t>Bank Charges and O/D Interest</t>
  </si>
  <si>
    <t>Summary of Depreciation Expense</t>
  </si>
  <si>
    <t xml:space="preserve">   5088 - Police </t>
  </si>
  <si>
    <t xml:space="preserve">   5293 - Fire Dep't</t>
  </si>
  <si>
    <t xml:space="preserve">   5310 - General Gov't</t>
  </si>
  <si>
    <t xml:space="preserve">   5895 - Recreation</t>
  </si>
  <si>
    <t xml:space="preserve">   5919 - Streets &amp; Sidewalks</t>
  </si>
  <si>
    <t>Conclusion: Capital asset continuity schedule for Community has been accurately updated and recalculated amortization is reasoanble.</t>
  </si>
  <si>
    <t>Top Up guarantee</t>
  </si>
  <si>
    <t xml:space="preserve">      2021-22 OPERATING BUDGET</t>
  </si>
  <si>
    <t>COVID-19 PROJECTS</t>
  </si>
  <si>
    <t>SURPLUS/DEFICIT AFTER AMORTIZATION</t>
  </si>
  <si>
    <t>Budgeting  method used in 2020 /Finance Debt Charges but not Depreciation</t>
  </si>
  <si>
    <t>2021-2022 BUDGET NOTES</t>
  </si>
  <si>
    <t xml:space="preserve">       TOWN OF BORDEN CARLETON</t>
  </si>
  <si>
    <t>March 24 2021</t>
  </si>
  <si>
    <t>The March Meeting will consider the Following Budgets for 2021-22</t>
  </si>
  <si>
    <t xml:space="preserve">                   Town Operating Budget</t>
  </si>
  <si>
    <t xml:space="preserve">                    Arena Operating Budget</t>
  </si>
  <si>
    <t>BUDGET PREAMPLE</t>
  </si>
  <si>
    <t xml:space="preserve">                    Partial Capital Budget (Town, Utilities and Arena)</t>
  </si>
  <si>
    <t xml:space="preserve">                     Setting of 2021-22 Municipal Tax Rates</t>
  </si>
  <si>
    <t>Before the end of March Council will meet and Consider the following budgets for 2021-22</t>
  </si>
  <si>
    <t xml:space="preserve">                    Water/Sewer Operating Budget</t>
  </si>
  <si>
    <t xml:space="preserve">                    Five Year Capital Plan and 2021-21 Capital Expenditures</t>
  </si>
  <si>
    <t>BUDGET LAYOUT</t>
  </si>
  <si>
    <t>The Budget Layout for last year was used as a starting Point</t>
  </si>
  <si>
    <t>There are a number of Changes to what budget categories expenses are charged to</t>
  </si>
  <si>
    <t>This was done to comply with the PEI Accounting Manual for Municipalities</t>
  </si>
  <si>
    <t>Additional Changes will be made to align the  Sage accounts with the Audited statements</t>
  </si>
  <si>
    <t>Intregity of the Budgeting Process was possible by:</t>
  </si>
  <si>
    <t xml:space="preserve">           - Mapping the Sage accounts to the Budget Line Items</t>
  </si>
  <si>
    <t xml:space="preserve">           - Examining the 2019/20 and 2020/21 postings for errors.</t>
  </si>
  <si>
    <t xml:space="preserve">           - Discussions with Dept of Municipal Affairs re Financial accounting issues</t>
  </si>
  <si>
    <t xml:space="preserve">            - As a result 2019/20 actuals and 2020/21 projected actuals are realistic numbers</t>
  </si>
  <si>
    <t xml:space="preserve">KEEP IN MIND </t>
  </si>
  <si>
    <t>BUDGETS ARE A GUIDELINE ONLY INTO MAKING DECISIONS</t>
  </si>
  <si>
    <t>BUDGETS CAN BE ADAPTED TO CHANGES IN SITUATIONS THAT ARISE DURING THE YEAR</t>
  </si>
  <si>
    <t>Taxes and Capital</t>
  </si>
  <si>
    <t>Comm</t>
  </si>
  <si>
    <t>Non Comm</t>
  </si>
  <si>
    <t>Res Assess</t>
  </si>
  <si>
    <t>Comm Assess</t>
  </si>
  <si>
    <t>one Cent Res</t>
  </si>
  <si>
    <t>one Cent Comm</t>
  </si>
  <si>
    <t>one cent  Tot</t>
  </si>
  <si>
    <t>1% Res</t>
  </si>
  <si>
    <t>1% Comm</t>
  </si>
  <si>
    <t>1% Tot</t>
  </si>
  <si>
    <t>Increase in Assessment to generate $10,000 revenue</t>
  </si>
  <si>
    <t xml:space="preserve">Comm </t>
  </si>
  <si>
    <t>Taxes</t>
  </si>
  <si>
    <t>Total</t>
  </si>
  <si>
    <t>ACTUAL(REVISED)</t>
  </si>
  <si>
    <t>Other Protection</t>
  </si>
  <si>
    <t>EMO Generator</t>
  </si>
  <si>
    <t>Generator for Emergency Centre (possibly Legion</t>
  </si>
  <si>
    <t>TOTAL _UTILITIES</t>
  </si>
  <si>
    <t>Renovate Accessible Dressing Room/Washroom</t>
  </si>
  <si>
    <t>GRAND TOTAL (ALL DEPARTMENTS)</t>
  </si>
  <si>
    <t>NET</t>
  </si>
  <si>
    <t>COST</t>
  </si>
  <si>
    <t xml:space="preserve">  SURPLUS (DEFICIT) RE MGA</t>
  </si>
  <si>
    <t>TRUE NET OPERATIONS SURPLUS (DEFICIT)</t>
  </si>
  <si>
    <t>no capital</t>
  </si>
  <si>
    <t>Net Position including Capital</t>
  </si>
  <si>
    <t>*</t>
  </si>
  <si>
    <t>**</t>
  </si>
  <si>
    <t>***</t>
  </si>
  <si>
    <t>****</t>
  </si>
  <si>
    <t>UTILIMATE NET POSITION</t>
  </si>
  <si>
    <t>Rate</t>
  </si>
  <si>
    <t>Assessment</t>
  </si>
  <si>
    <t xml:space="preserve">Non Comm </t>
  </si>
  <si>
    <t>TOWN of BORDEN-CARLETON 2021-22</t>
  </si>
  <si>
    <t>(Notes Tab Budget File)</t>
  </si>
  <si>
    <t>various</t>
  </si>
  <si>
    <t>2/3 sewer</t>
  </si>
  <si>
    <t>1/3 Water</t>
  </si>
  <si>
    <t>Los re Transcontential Bld/COVID</t>
  </si>
  <si>
    <t>A number of Older accounts Collected</t>
  </si>
  <si>
    <t>2/3 sewer. 1/3 water</t>
  </si>
  <si>
    <t>A number of older accts paid off</t>
  </si>
  <si>
    <t xml:space="preserve">needs to be reviewed </t>
  </si>
  <si>
    <t>only 4" Mains</t>
  </si>
  <si>
    <t>Transcontential Closed</t>
  </si>
  <si>
    <t>shd be a change of ownership fee</t>
  </si>
  <si>
    <t>50% Town/50% Water</t>
  </si>
  <si>
    <t>Under review</t>
  </si>
  <si>
    <t>Less time for Linda in 2021/22</t>
  </si>
  <si>
    <t>50% Water/50% Sewer</t>
  </si>
  <si>
    <t>Interest on Loan to Town</t>
  </si>
  <si>
    <t>For Land Purchasse "Old School Purposes"</t>
  </si>
  <si>
    <t>10% Capital</t>
  </si>
  <si>
    <t>Capital Loan</t>
  </si>
  <si>
    <t>Depreciation Water</t>
  </si>
  <si>
    <t>new tower</t>
  </si>
  <si>
    <t>debt</t>
  </si>
  <si>
    <t>now being chgd pportion of liability cost</t>
  </si>
  <si>
    <t>inc audit</t>
  </si>
  <si>
    <t>Audit</t>
  </si>
  <si>
    <t>PROJECTED SURPLUS/DEFICIT OPERATING</t>
  </si>
  <si>
    <t>TOTAL REVENUE(OPERATING)</t>
  </si>
  <si>
    <t>Distribution Services</t>
  </si>
  <si>
    <t>Contribution</t>
  </si>
  <si>
    <t>Prov</t>
  </si>
  <si>
    <t>GRANTS/Rebates</t>
  </si>
  <si>
    <t>Water Meters New Development</t>
  </si>
  <si>
    <t>TBD</t>
  </si>
  <si>
    <t>Water Meters</t>
  </si>
  <si>
    <t>Water Service</t>
  </si>
  <si>
    <t>Financial Position  with Amortization</t>
  </si>
  <si>
    <t>RECAP SALARIES &amp; BENEFITS</t>
  </si>
  <si>
    <t>includes portion of liability insurance</t>
  </si>
  <si>
    <t>audit</t>
  </si>
  <si>
    <t>received 20,000 carried over to 2021/22</t>
  </si>
  <si>
    <t>2022-23 to 2026-27</t>
  </si>
  <si>
    <t>APR26-MAR27</t>
  </si>
  <si>
    <t>GRANTS</t>
  </si>
  <si>
    <t>Campground to pay</t>
  </si>
  <si>
    <t>Backup Chlorinator</t>
  </si>
  <si>
    <t>8" Sewer Line Read Rd Carleton St - Industrial Drive</t>
  </si>
  <si>
    <t>Water extension to Old School Lands</t>
  </si>
  <si>
    <t>Sewer extension to Old School Lands</t>
  </si>
  <si>
    <t>Water Extension to Wayne Walsh Property Borden Ave</t>
  </si>
  <si>
    <t>Sewer Extension  to Wayne Walsh property Borden Ave</t>
  </si>
  <si>
    <t>Replace Pagers/portable radio</t>
  </si>
  <si>
    <t>APR/22- Mar/23</t>
  </si>
  <si>
    <t>PROV</t>
  </si>
  <si>
    <t>SAGE</t>
  </si>
  <si>
    <t>4010</t>
  </si>
  <si>
    <t>PropertyTax</t>
  </si>
  <si>
    <t>4011</t>
  </si>
  <si>
    <t>Surplus from Previous Year</t>
  </si>
  <si>
    <t>4020</t>
  </si>
  <si>
    <t>Grants - Municipal Support</t>
  </si>
  <si>
    <t>4022</t>
  </si>
  <si>
    <t>Grants - Provincial Infrastructure</t>
  </si>
  <si>
    <t>4025</t>
  </si>
  <si>
    <t>Grants - Gas Tax</t>
  </si>
  <si>
    <t>4030</t>
  </si>
  <si>
    <t>Grants- Job Creation General</t>
  </si>
  <si>
    <t>4040</t>
  </si>
  <si>
    <t>Grants- Job Creation Police</t>
  </si>
  <si>
    <t>4042</t>
  </si>
  <si>
    <t>Grants - MCEG</t>
  </si>
  <si>
    <t>4045</t>
  </si>
  <si>
    <t>4046</t>
  </si>
  <si>
    <t>Grants Capsite</t>
  </si>
  <si>
    <t>4048</t>
  </si>
  <si>
    <t>Work Experince PEI</t>
  </si>
  <si>
    <t>4049</t>
  </si>
  <si>
    <t>Book Revenue</t>
  </si>
  <si>
    <t>4050</t>
  </si>
  <si>
    <t>Grants- Job Creation Recreation</t>
  </si>
  <si>
    <t>4051</t>
  </si>
  <si>
    <t>PST Revenue Refund</t>
  </si>
  <si>
    <t>4060</t>
  </si>
  <si>
    <t>Grants- Recreation Leadership</t>
  </si>
  <si>
    <t>4061</t>
  </si>
  <si>
    <t>Grants-Recreation, Canada Day</t>
  </si>
  <si>
    <t>4062</t>
  </si>
  <si>
    <t>Grants, Recreation-Ballfield Improv</t>
  </si>
  <si>
    <t>4063</t>
  </si>
  <si>
    <t>Grants-Playground Improvement</t>
  </si>
  <si>
    <t>4064</t>
  </si>
  <si>
    <t>Wage Target Subsidy</t>
  </si>
  <si>
    <t>4065</t>
  </si>
  <si>
    <t>Grants-Arena Operations</t>
  </si>
  <si>
    <t>4066</t>
  </si>
  <si>
    <t>Grants-Recreation-Other</t>
  </si>
  <si>
    <t>4068</t>
  </si>
  <si>
    <t>Grant JCP Project Arena</t>
  </si>
  <si>
    <t>4080</t>
  </si>
  <si>
    <t>Grants-PEI Sales Tax Rebate</t>
  </si>
  <si>
    <t>4133</t>
  </si>
  <si>
    <t>Reimbursment</t>
  </si>
  <si>
    <t>4150</t>
  </si>
  <si>
    <t>Sale of Police Equipment</t>
  </si>
  <si>
    <t>4160</t>
  </si>
  <si>
    <t>4161</t>
  </si>
  <si>
    <t>Police Training</t>
  </si>
  <si>
    <t>4166</t>
  </si>
  <si>
    <t>Sale of Town Assets(items)</t>
  </si>
  <si>
    <t>4170</t>
  </si>
  <si>
    <t>Fines Municipal ByLaws</t>
  </si>
  <si>
    <t>4171</t>
  </si>
  <si>
    <t>Administration Fees</t>
  </si>
  <si>
    <t>4175</t>
  </si>
  <si>
    <t>Fees-Police-Criminal Record Checks</t>
  </si>
  <si>
    <t>4180</t>
  </si>
  <si>
    <t>Fire Dues</t>
  </si>
  <si>
    <t>4190</t>
  </si>
  <si>
    <t>Fire Dues- SCBL</t>
  </si>
  <si>
    <t>4191</t>
  </si>
  <si>
    <t>Donations Fire Dept.</t>
  </si>
  <si>
    <t>4192</t>
  </si>
  <si>
    <t>Donations Canada Day Festivities</t>
  </si>
  <si>
    <t>4193</t>
  </si>
  <si>
    <t>Donations General</t>
  </si>
  <si>
    <t>4200</t>
  </si>
  <si>
    <t>Library Reno-proceeds from utility</t>
  </si>
  <si>
    <t>4203</t>
  </si>
  <si>
    <t>Fees - Municipal Election</t>
  </si>
  <si>
    <t>4204</t>
  </si>
  <si>
    <t>Fees-Residential Building Permits</t>
  </si>
  <si>
    <t>4205</t>
  </si>
  <si>
    <t>Fees-Commercial Development Permits</t>
  </si>
  <si>
    <t>4206</t>
  </si>
  <si>
    <t>Dog Licenses</t>
  </si>
  <si>
    <t>4207</t>
  </si>
  <si>
    <t>Misc Permits</t>
  </si>
  <si>
    <t>4208</t>
  </si>
  <si>
    <t>Revenue - Playground Infrastructure</t>
  </si>
  <si>
    <t>4210</t>
  </si>
  <si>
    <t>Licenses &amp; Permits-Mixed</t>
  </si>
  <si>
    <t>Subdivision Fees</t>
  </si>
  <si>
    <t>4213</t>
  </si>
  <si>
    <t>Rezoning Fees</t>
  </si>
  <si>
    <t>4217</t>
  </si>
  <si>
    <t>Misc. Revenue - Events</t>
  </si>
  <si>
    <t>4220</t>
  </si>
  <si>
    <t>Interest</t>
  </si>
  <si>
    <t>4230</t>
  </si>
  <si>
    <t>Summer Program Registration</t>
  </si>
  <si>
    <t>4234</t>
  </si>
  <si>
    <t>Misc. Recreation</t>
  </si>
  <si>
    <t>4238</t>
  </si>
  <si>
    <t>Ball Hockey Tournament Donation</t>
  </si>
  <si>
    <t>4240</t>
  </si>
  <si>
    <t>Advertising Revenue</t>
  </si>
  <si>
    <t>4242</t>
  </si>
  <si>
    <t>Rail Park Rent</t>
  </si>
  <si>
    <t>4245</t>
  </si>
  <si>
    <t>Misc Revenue</t>
  </si>
  <si>
    <t>4250</t>
  </si>
  <si>
    <t>BADC - reimbursement</t>
  </si>
  <si>
    <t>4255</t>
  </si>
  <si>
    <t>Sales tax rebate</t>
  </si>
  <si>
    <t>4300</t>
  </si>
  <si>
    <t>Gov't transfers for Capital</t>
  </si>
  <si>
    <t>4400</t>
  </si>
  <si>
    <t>Government transfers for operations</t>
  </si>
  <si>
    <t>Feb 24 2022</t>
  </si>
  <si>
    <t>Feb/Mar</t>
  </si>
  <si>
    <t>2022/23</t>
  </si>
  <si>
    <t>Prov Guaranteed Funding</t>
  </si>
  <si>
    <t>Less:</t>
  </si>
  <si>
    <t xml:space="preserve">Prov Tax Credit </t>
  </si>
  <si>
    <t>Calculation 2020/21 Top Up Grant</t>
  </si>
  <si>
    <t>Equalization Grant</t>
  </si>
  <si>
    <t>MCEG Grant Claimed</t>
  </si>
  <si>
    <t>Net Top Up Grant</t>
  </si>
  <si>
    <t>Agreement expires???</t>
  </si>
  <si>
    <t>35% of Shareable Costs</t>
  </si>
  <si>
    <t>July Fines????</t>
  </si>
  <si>
    <t>Volunteers</t>
  </si>
  <si>
    <t>Budget</t>
  </si>
  <si>
    <t>Gateway Days</t>
  </si>
  <si>
    <t>check when cont expires</t>
  </si>
  <si>
    <t>Top Up Grant</t>
  </si>
  <si>
    <t xml:space="preserve">Tax Revenue based on  3cen tax increase (100,000 assessment = 30.00 year yaxes for 3 cents) </t>
  </si>
  <si>
    <t>Because of Municipal Agreement town receives a minimum 25,000 Top Up /Capital ex grant</t>
  </si>
  <si>
    <t xml:space="preserve">However, if portion is allocated to Utilities then Town revenue would be less </t>
  </si>
  <si>
    <t>Job Creation Grant - Cornwall does not budget for grant so that staff levels are stable</t>
  </si>
  <si>
    <t>Budget t for top  up???? Or budget for minimum 250,000 capital exp</t>
  </si>
  <si>
    <t>If received then use for Capital</t>
  </si>
  <si>
    <t>Gateway Arena</t>
  </si>
  <si>
    <t>Comparative Trial Balance</t>
  </si>
  <si>
    <t>As at Mar 31, 2021</t>
  </si>
  <si>
    <t>As at Mar 12, 2022</t>
  </si>
  <si>
    <t>4002</t>
  </si>
  <si>
    <t>Ice Revenue</t>
  </si>
  <si>
    <t>4005</t>
  </si>
  <si>
    <t>Outside Minor Hockey</t>
  </si>
  <si>
    <t>Ice Rental-Minor Hockey</t>
  </si>
  <si>
    <t>Ice Rental-Shinny Hockey</t>
  </si>
  <si>
    <t>Ice Rentals-Miscellaneous</t>
  </si>
  <si>
    <t>Ice Rentals-Ladies Rec</t>
  </si>
  <si>
    <t>Ice Rentals-Schools</t>
  </si>
  <si>
    <t>Ice Rental-Figure Skating</t>
  </si>
  <si>
    <t>4070</t>
  </si>
  <si>
    <t>Ice Rental</t>
  </si>
  <si>
    <t>4075</t>
  </si>
  <si>
    <t>Ringette</t>
  </si>
  <si>
    <t>Ice Rental-Rec Hockey</t>
  </si>
  <si>
    <t>4085</t>
  </si>
  <si>
    <t>Ice rental- Oldtimers</t>
  </si>
  <si>
    <t>4090</t>
  </si>
  <si>
    <t>Ice Rental-Ladies Crunch</t>
  </si>
  <si>
    <t>4100</t>
  </si>
  <si>
    <t>Tournaments</t>
  </si>
  <si>
    <t>4110</t>
  </si>
  <si>
    <t>Skates</t>
  </si>
  <si>
    <t>4120</t>
  </si>
  <si>
    <t>4130</t>
  </si>
  <si>
    <t>Skate sharpening</t>
  </si>
  <si>
    <t>4135</t>
  </si>
  <si>
    <t>Equipment Donations &amp; Fundraising</t>
  </si>
  <si>
    <t>4136</t>
  </si>
  <si>
    <t>Donations - Canada Day Festivities</t>
  </si>
  <si>
    <t>4140</t>
  </si>
  <si>
    <t>Vending Machines</t>
  </si>
  <si>
    <t>4141</t>
  </si>
  <si>
    <t>Transfers From Town</t>
  </si>
  <si>
    <t>Arena Rentals</t>
  </si>
  <si>
    <t>4153</t>
  </si>
  <si>
    <t>Sale of Assets</t>
  </si>
  <si>
    <t>4155</t>
  </si>
  <si>
    <t>Table and Chair Rentals</t>
  </si>
  <si>
    <t>Sign Rentals</t>
  </si>
  <si>
    <t>4165</t>
  </si>
  <si>
    <t>Recreation Programs</t>
  </si>
  <si>
    <t>Miscellaneous Revenue</t>
  </si>
  <si>
    <t>Gym - Membership fees</t>
  </si>
  <si>
    <t>4173</t>
  </si>
  <si>
    <t>Gym Equipment Savings</t>
  </si>
  <si>
    <t>Total Other Revenue</t>
  </si>
  <si>
    <t>Grants-Arena Support Prov. PEI</t>
  </si>
  <si>
    <t>4185</t>
  </si>
  <si>
    <t>Province of PEI - Other</t>
  </si>
  <si>
    <t>Grants-Salaries</t>
  </si>
  <si>
    <t>4199</t>
  </si>
  <si>
    <t>Total Grant Revenue</t>
  </si>
  <si>
    <t>Interest Income</t>
  </si>
  <si>
    <t>Income tax rebates</t>
  </si>
  <si>
    <t>Spring indoor ball hockey Revenue</t>
  </si>
  <si>
    <t>4410</t>
  </si>
  <si>
    <t>Newletter Advertising</t>
  </si>
  <si>
    <t>4420</t>
  </si>
  <si>
    <t>Heater Rental</t>
  </si>
  <si>
    <t>4500</t>
  </si>
  <si>
    <t>Canteen Sales</t>
  </si>
  <si>
    <t>4505</t>
  </si>
  <si>
    <t>PST Commission</t>
  </si>
  <si>
    <t>4600</t>
  </si>
  <si>
    <t>Revenue - Gas Tax</t>
  </si>
  <si>
    <t>5001</t>
  </si>
  <si>
    <t>Wages-Arena</t>
  </si>
  <si>
    <t>5003</t>
  </si>
  <si>
    <t>XxXx</t>
  </si>
  <si>
    <t>5006</t>
  </si>
  <si>
    <t>Vacation Pay</t>
  </si>
  <si>
    <t>5009</t>
  </si>
  <si>
    <t>5012</t>
  </si>
  <si>
    <t>5015</t>
  </si>
  <si>
    <t>5018</t>
  </si>
  <si>
    <t>Bonuses</t>
  </si>
  <si>
    <t>5021</t>
  </si>
  <si>
    <t>Rec Hockey Ref &amp; Instructors</t>
  </si>
  <si>
    <t>5022</t>
  </si>
  <si>
    <t>hockey - officials</t>
  </si>
  <si>
    <t>5024</t>
  </si>
  <si>
    <t>Zamboni gas&amp; Repairs</t>
  </si>
  <si>
    <t>5025</t>
  </si>
  <si>
    <t>Edger repairs &amp; fuel</t>
  </si>
  <si>
    <t>5027</t>
  </si>
  <si>
    <t>Ice Making (Start-up)</t>
  </si>
  <si>
    <t>5030</t>
  </si>
  <si>
    <t>Plant Maintenance</t>
  </si>
  <si>
    <t>5031</t>
  </si>
  <si>
    <t>Tournament Expenses</t>
  </si>
  <si>
    <t>5033</t>
  </si>
  <si>
    <t>5034</t>
  </si>
  <si>
    <t>Internet - Route 2</t>
  </si>
  <si>
    <t>5035</t>
  </si>
  <si>
    <t>Computer Software</t>
  </si>
  <si>
    <t>5036</t>
  </si>
  <si>
    <t>5037</t>
  </si>
  <si>
    <t>Christmas Eve Skate</t>
  </si>
  <si>
    <t>5039</t>
  </si>
  <si>
    <t>5040</t>
  </si>
  <si>
    <t>Interest on long term debt</t>
  </si>
  <si>
    <t>5042</t>
  </si>
  <si>
    <t>5045</t>
  </si>
  <si>
    <t>Professional Fees - Energy Audit</t>
  </si>
  <si>
    <t>5048</t>
  </si>
  <si>
    <t>5051</t>
  </si>
  <si>
    <t>Property Taxes &amp; Utilities</t>
  </si>
  <si>
    <t>5054</t>
  </si>
  <si>
    <t>5055</t>
  </si>
  <si>
    <t>BAD DEBTS</t>
  </si>
  <si>
    <t>5057</t>
  </si>
  <si>
    <t>5060</t>
  </si>
  <si>
    <t>5061</t>
  </si>
  <si>
    <t>Security Fees</t>
  </si>
  <si>
    <t>5063</t>
  </si>
  <si>
    <t>5065</t>
  </si>
  <si>
    <t>5066</t>
  </si>
  <si>
    <t>Office &amp; Postage</t>
  </si>
  <si>
    <t>5067</t>
  </si>
  <si>
    <t>Freight &amp; Shipping Charges</t>
  </si>
  <si>
    <t>5068</t>
  </si>
  <si>
    <t>Gym Expenses</t>
  </si>
  <si>
    <t>5069</t>
  </si>
  <si>
    <t>5070</t>
  </si>
  <si>
    <t>Gym Equip Repairs</t>
  </si>
  <si>
    <t>5072</t>
  </si>
  <si>
    <t>Equipment Purchases</t>
  </si>
  <si>
    <t>5073</t>
  </si>
  <si>
    <t>"Birthday Room"</t>
  </si>
  <si>
    <t>5075</t>
  </si>
  <si>
    <t>Maintenance &amp; Repairs</t>
  </si>
  <si>
    <t>5078</t>
  </si>
  <si>
    <t>Equipment Lease</t>
  </si>
  <si>
    <t>5081</t>
  </si>
  <si>
    <t>5082</t>
  </si>
  <si>
    <t>5083</t>
  </si>
  <si>
    <t>PIF</t>
  </si>
  <si>
    <t>5084</t>
  </si>
  <si>
    <t>5085</t>
  </si>
  <si>
    <t>5105</t>
  </si>
  <si>
    <t>Depreciation</t>
  </si>
  <si>
    <t>Donations, Prizes ect.</t>
  </si>
  <si>
    <t>5509</t>
  </si>
  <si>
    <t>WCB -Canteen</t>
  </si>
  <si>
    <t>5510</t>
  </si>
  <si>
    <t>Wages &amp; Salaries-Canteen</t>
  </si>
  <si>
    <t>5520</t>
  </si>
  <si>
    <t>Vacation Pay-Canteen</t>
  </si>
  <si>
    <t>5530</t>
  </si>
  <si>
    <t>CPP Expense-Canteen</t>
  </si>
  <si>
    <t>5540</t>
  </si>
  <si>
    <t>EI Expense-Canteen</t>
  </si>
  <si>
    <t>5550</t>
  </si>
  <si>
    <t>Canteen Purchases</t>
  </si>
  <si>
    <t>5555</t>
  </si>
  <si>
    <t>Debit-Service Chgs-Canteen</t>
  </si>
  <si>
    <t>5560</t>
  </si>
  <si>
    <t>Propane-Canteen</t>
  </si>
  <si>
    <t>5570</t>
  </si>
  <si>
    <t>Supplies-Canteen</t>
  </si>
  <si>
    <t>5575</t>
  </si>
  <si>
    <t>Telephone-Canteen</t>
  </si>
  <si>
    <t>5580</t>
  </si>
  <si>
    <t>Canteen R &amp; M</t>
  </si>
  <si>
    <t>5581</t>
  </si>
  <si>
    <t>XxX</t>
  </si>
  <si>
    <t>5800</t>
  </si>
  <si>
    <t>5990</t>
  </si>
  <si>
    <t>Cash Over And Short</t>
  </si>
  <si>
    <t>Grants -wages Arena</t>
  </si>
  <si>
    <t>Arthur &amp; Summer Staff</t>
  </si>
  <si>
    <t>Phase out Budgeting for Grants over 3 year Period/Recover through Fee Based Programming</t>
  </si>
  <si>
    <t>Pop inc Tax rate inc</t>
  </si>
  <si>
    <t>Equalization Grant Based on Tax Rates/Assessment/Pop (incerease may reduce Equalization</t>
  </si>
  <si>
    <t>0000</t>
  </si>
  <si>
    <t>Staffing</t>
  </si>
  <si>
    <t>Dennis &amp; Arthur share responsibility Winter (Arena plus other) Rounds</t>
  </si>
  <si>
    <t>Dennis &amp; Arthur work as Maintenance Team. More will get done</t>
  </si>
  <si>
    <t>Holly o/sees all non office staff</t>
  </si>
  <si>
    <t xml:space="preserve">Arena Office for Arthur &amp; Dennis </t>
  </si>
  <si>
    <t>Summer Staff Students plus one licensed child care worker</t>
  </si>
  <si>
    <t>Maint Frankie plus /dedicated Rail Park person(s)</t>
  </si>
  <si>
    <t>Flowers (contract)</t>
  </si>
  <si>
    <t>Gym  Club, Self managed Still fees for use</t>
  </si>
  <si>
    <t>Day Camp Fees to be more realistic</t>
  </si>
  <si>
    <t>Contract Canteen Out/Guaranteed Rent Icome instead of a loss (Hardship Grant)</t>
  </si>
  <si>
    <t>Summer Camp</t>
  </si>
  <si>
    <t>Town</t>
  </si>
  <si>
    <t>Summer Staff</t>
  </si>
  <si>
    <t>Arena Fees to increase 5.00 hour</t>
  </si>
  <si>
    <t>Look at Revenue for Tennis Courts/Adult team using Fields</t>
  </si>
  <si>
    <t>No Free Ball Hockey</t>
  </si>
  <si>
    <t xml:space="preserve">Holly to look at Skating Sponsors </t>
  </si>
  <si>
    <t>Events over Xmas &amp; Mark Breaks &amp; Holidays</t>
  </si>
  <si>
    <t>Elections/Planning/Tenders/Notices</t>
  </si>
  <si>
    <t>Election expense …. Appt RO . Elect PEI  Higher Deposit Fee</t>
  </si>
  <si>
    <t>Bank Prime Rate up from 2.45 to 2.70 (10%) our rate is Prime plus 0.5</t>
  </si>
  <si>
    <t>Policing Ciontract revised 98, 300 2020/21 to 105,000 2022/23</t>
  </si>
  <si>
    <t>Insurance Costs Increase 20% for 2022/23 from 25,000 to 30,000</t>
  </si>
  <si>
    <t>CPI</t>
  </si>
  <si>
    <t>DIFF</t>
  </si>
  <si>
    <t xml:space="preserve"> Honorariums Outgoing Council set Homorariums of incoming Council (inflation last 4 yrs = 10%)</t>
  </si>
  <si>
    <t>20% increase</t>
  </si>
  <si>
    <t>Water/Sewer Rate study 2022 Hyrant rates will increase</t>
  </si>
  <si>
    <t>Look at Allocation of Costs of Bell Building to Fire</t>
  </si>
  <si>
    <t>=962.5*12</t>
  </si>
  <si>
    <t>Maint of Floors/Office</t>
  </si>
  <si>
    <t>Annual Supper &amp; Training</t>
  </si>
  <si>
    <t>Fire Dept Honorarium Review  1,600, 800 plus 15.50 call</t>
  </si>
  <si>
    <t>Plowing Streets = Prov Tender?</t>
  </si>
  <si>
    <t>Ford Truck Gas &amp; Repairs</t>
  </si>
  <si>
    <t>NEW</t>
  </si>
  <si>
    <t>Photocopier Lease  ends in Oct ….Look for new Machine</t>
  </si>
  <si>
    <t xml:space="preserve">Utilities </t>
  </si>
  <si>
    <t>Engineering</t>
  </si>
  <si>
    <t>Due to Population Chg Top Up Grant inc from 9xxxx to 72042 (may be only year, Equalization under review)</t>
  </si>
  <si>
    <t>TEARLY CALANDAR NEEDED TO DO's FIN and Water/Sewer reporting, etc</t>
  </si>
  <si>
    <t>Christmas in the Park</t>
  </si>
  <si>
    <t>Events (net of Revenue)</t>
  </si>
  <si>
    <t>Day Camp</t>
  </si>
  <si>
    <t>electricity/Heat</t>
  </si>
  <si>
    <t>Salaries - Canteen</t>
  </si>
  <si>
    <t>Community Events  - Meetings</t>
  </si>
  <si>
    <t>Flower Planting/etc</t>
  </si>
  <si>
    <t>Provincial Top Up Grant  2019 . No Top up for 2022/23</t>
  </si>
  <si>
    <t>Development PermitsPermits</t>
  </si>
  <si>
    <t>Rent/lease (Rail Park)</t>
  </si>
  <si>
    <t>Grant s/Donations Received- Canada Day</t>
  </si>
  <si>
    <t>Grants - COVID-19 &amp; Grant in Lieu</t>
  </si>
  <si>
    <t>Events (GatewaY Days &amp; Others)</t>
  </si>
  <si>
    <t>MARCH 2022</t>
  </si>
  <si>
    <t xml:space="preserve">      2022-23 OPERATING BUDGET</t>
  </si>
  <si>
    <t>Capital Equipment from /revenue</t>
  </si>
  <si>
    <t>Sidewalk Assessment</t>
  </si>
  <si>
    <t>Paving Streets  &amp; sidewalks, Parking Lots</t>
  </si>
  <si>
    <t>Furniture/Plaques</t>
  </si>
  <si>
    <t>Sewer read Road</t>
  </si>
  <si>
    <t>TOTAL PRINICIPAL  REPAYMENTS</t>
  </si>
  <si>
    <t>Salaries and Benefits Arena</t>
  </si>
  <si>
    <t>Salaries and Benefits Canteen</t>
  </si>
  <si>
    <t>subtotal</t>
  </si>
  <si>
    <t>Utility Rate study</t>
  </si>
  <si>
    <t>2022-2023 OPERATING BUDGET</t>
  </si>
  <si>
    <t>March 21 2022</t>
  </si>
  <si>
    <t>202-2023 OPERATING BUDGET</t>
  </si>
  <si>
    <t>MAR 21 2022  REVISED SEWER</t>
  </si>
  <si>
    <t>Overhead Door</t>
  </si>
  <si>
    <t>Replace Heat Pump</t>
  </si>
  <si>
    <t>Projects at No Cost to Town</t>
  </si>
  <si>
    <t>Water/Sewer</t>
  </si>
  <si>
    <t xml:space="preserve">Dept of Finance - Industrial Drive </t>
  </si>
  <si>
    <t>Fabrication Yard</t>
  </si>
  <si>
    <t>Signage</t>
  </si>
  <si>
    <t>Trails</t>
  </si>
  <si>
    <t>Boardwalk</t>
  </si>
  <si>
    <t>Gabezo</t>
  </si>
  <si>
    <t>Gazezo Base &amp; Electrical</t>
  </si>
  <si>
    <t>Ballfield</t>
  </si>
  <si>
    <t>Replace Playground Equipment /Arena Park &amp; others</t>
  </si>
  <si>
    <t>Generator - Arena</t>
  </si>
  <si>
    <t>Gym Equipment</t>
  </si>
  <si>
    <t>Canteen Upgrades/Fryers</t>
  </si>
  <si>
    <t>Storage Building Arena</t>
  </si>
  <si>
    <t>YR 1</t>
  </si>
  <si>
    <t xml:space="preserve">Camera Monitoring </t>
  </si>
  <si>
    <t>Jamie fox</t>
  </si>
  <si>
    <t>Proceeeds - Sale of Land</t>
  </si>
  <si>
    <t>Proceeds - Sale of Land</t>
  </si>
  <si>
    <t>2022-23 CAPITAL BUDGET</t>
  </si>
  <si>
    <t>Comments (Net Costs)</t>
  </si>
  <si>
    <t>CAPIT/REV</t>
  </si>
  <si>
    <t>ONE YEAR</t>
  </si>
  <si>
    <t>5 YEAR</t>
  </si>
  <si>
    <t>Sewer Read Road</t>
  </si>
  <si>
    <t xml:space="preserve">Water Carleton St </t>
  </si>
  <si>
    <t>Sewer Carleton Street</t>
  </si>
  <si>
    <t>Water Borden Ave</t>
  </si>
  <si>
    <t>Sewer Borden Ave</t>
  </si>
  <si>
    <t>APPROVED</t>
  </si>
  <si>
    <t>Replace Zamboni/Edger</t>
  </si>
  <si>
    <t>Calculation 2021/22 Top Up Grant</t>
  </si>
  <si>
    <t>APR/23- Mar/24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</si>
</sst>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_ ;\-#,##0\ "/>
    <numFmt numFmtId="167" formatCode="#,##0.00\ ;\-#,##0.00"/>
    <numFmt numFmtId="168" formatCode="0.00;[Red]0.00"/>
    <numFmt numFmtId="169" formatCode="mmm\ dd\,\ yyyy"/>
    <numFmt numFmtId="170" formatCode="0_ ;\-0\ "/>
    <numFmt numFmtId="171" formatCode="#,##0.0_ ;\-#,##0.0\ "/>
    <numFmt numFmtId="172" formatCode="0.0%"/>
    <numFmt numFmtId="173" formatCode="_(* #,##0.00_);_(* \(#,##0.0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  <font>
      <u val="singleAccounting"/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0"/>
      <color rgb="FF000000"/>
      <name val="Arial"/>
      <family val="2"/>
    </font>
    <font>
      <b/>
      <sz val="20"/>
      <color indexed="8"/>
      <name val="Calibri"/>
      <family val="2"/>
    </font>
    <font>
      <b/>
      <sz val="18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u/>
      <sz val="12"/>
      <color indexed="8"/>
      <name val="Calibri"/>
      <family val="2"/>
    </font>
    <font>
      <sz val="12"/>
      <color indexed="8"/>
      <name val="Calibri"/>
      <family val="2"/>
    </font>
    <font>
      <b/>
      <u/>
      <sz val="12"/>
      <color rgb="FFFF0000"/>
      <name val="Calibri"/>
      <family val="2"/>
    </font>
    <font>
      <u val="singleAccounting"/>
      <sz val="12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indexed="8"/>
      <name val="Calibri"/>
      <family val="2"/>
    </font>
    <font>
      <b/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507">
    <xf numFmtId="0" fontId="0" fillId="0" borderId="0" xfId="0"/>
    <xf numFmtId="0" fontId="0" fillId="0" borderId="1" xfId="0" applyBorder="1"/>
    <xf numFmtId="3" fontId="0" fillId="0" borderId="0" xfId="0" applyNumberFormat="1"/>
    <xf numFmtId="0" fontId="3" fillId="0" borderId="0" xfId="0" applyFont="1"/>
    <xf numFmtId="166" fontId="0" fillId="0" borderId="0" xfId="0" applyNumberFormat="1"/>
    <xf numFmtId="166" fontId="3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quotePrefix="1" applyFont="1" applyAlignment="1">
      <alignment horizontal="right"/>
    </xf>
    <xf numFmtId="0" fontId="12" fillId="0" borderId="0" xfId="0" quotePrefix="1" applyFont="1" applyAlignment="1">
      <alignment horizontal="left"/>
    </xf>
    <xf numFmtId="167" fontId="12" fillId="0" borderId="0" xfId="0" applyNumberFormat="1" applyFont="1" applyAlignment="1">
      <alignment horizontal="right"/>
    </xf>
    <xf numFmtId="167" fontId="12" fillId="3" borderId="0" xfId="0" applyNumberFormat="1" applyFont="1" applyFill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quotePrefix="1" applyFont="1" applyAlignment="1">
      <alignment horizontal="right"/>
    </xf>
    <xf numFmtId="0" fontId="14" fillId="0" borderId="0" xfId="0" quotePrefix="1" applyFont="1" applyAlignment="1">
      <alignment horizontal="left"/>
    </xf>
    <xf numFmtId="167" fontId="14" fillId="0" borderId="0" xfId="0" applyNumberFormat="1" applyFont="1" applyAlignment="1">
      <alignment horizontal="right"/>
    </xf>
    <xf numFmtId="0" fontId="13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167" fontId="13" fillId="0" borderId="0" xfId="0" applyNumberFormat="1" applyFont="1"/>
    <xf numFmtId="165" fontId="10" fillId="0" borderId="0" xfId="0" applyNumberFormat="1" applyFont="1"/>
    <xf numFmtId="165" fontId="0" fillId="0" borderId="0" xfId="0" applyNumberForma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5" xfId="0" applyFont="1" applyBorder="1" applyAlignment="1">
      <alignment horizontal="center"/>
    </xf>
    <xf numFmtId="165" fontId="13" fillId="0" borderId="0" xfId="0" applyNumberFormat="1" applyFont="1"/>
    <xf numFmtId="165" fontId="11" fillId="0" borderId="0" xfId="0" applyNumberFormat="1" applyFont="1"/>
    <xf numFmtId="165" fontId="17" fillId="0" borderId="0" xfId="0" applyNumberFormat="1" applyFont="1"/>
    <xf numFmtId="167" fontId="14" fillId="2" borderId="0" xfId="0" applyNumberFormat="1" applyFont="1" applyFill="1" applyAlignment="1">
      <alignment horizontal="right"/>
    </xf>
    <xf numFmtId="165" fontId="15" fillId="0" borderId="0" xfId="0" applyNumberFormat="1" applyFont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0" fontId="0" fillId="0" borderId="0" xfId="0" applyNumberFormat="1"/>
    <xf numFmtId="9" fontId="0" fillId="0" borderId="0" xfId="0" applyNumberFormat="1"/>
    <xf numFmtId="165" fontId="0" fillId="2" borderId="0" xfId="0" applyNumberFormat="1" applyFill="1"/>
    <xf numFmtId="43" fontId="13" fillId="0" borderId="0" xfId="1" applyFont="1"/>
    <xf numFmtId="43" fontId="10" fillId="0" borderId="0" xfId="0" applyNumberFormat="1" applyFont="1"/>
    <xf numFmtId="165" fontId="10" fillId="0" borderId="0" xfId="0" applyNumberFormat="1" applyFont="1" applyAlignment="1">
      <alignment horizontal="center"/>
    </xf>
    <xf numFmtId="0" fontId="19" fillId="0" borderId="1" xfId="0" applyFont="1" applyBorder="1"/>
    <xf numFmtId="0" fontId="19" fillId="0" borderId="0" xfId="0" applyFont="1"/>
    <xf numFmtId="0" fontId="20" fillId="0" borderId="0" xfId="0" applyFont="1"/>
    <xf numFmtId="0" fontId="20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21" fillId="0" borderId="1" xfId="0" applyFont="1" applyBorder="1"/>
    <xf numFmtId="0" fontId="9" fillId="0" borderId="1" xfId="0" applyFont="1" applyBorder="1"/>
    <xf numFmtId="0" fontId="22" fillId="0" borderId="1" xfId="0" applyFont="1" applyBorder="1"/>
    <xf numFmtId="0" fontId="19" fillId="0" borderId="0" xfId="0" applyFont="1" applyAlignment="1">
      <alignment horizontal="center"/>
    </xf>
    <xf numFmtId="0" fontId="25" fillId="0" borderId="1" xfId="0" applyFont="1" applyBorder="1"/>
    <xf numFmtId="0" fontId="9" fillId="0" borderId="6" xfId="0" applyFont="1" applyBorder="1"/>
    <xf numFmtId="0" fontId="11" fillId="0" borderId="6" xfId="0" applyFont="1" applyBorder="1"/>
    <xf numFmtId="0" fontId="9" fillId="0" borderId="7" xfId="0" applyFont="1" applyBorder="1"/>
    <xf numFmtId="0" fontId="11" fillId="0" borderId="7" xfId="0" applyFont="1" applyBorder="1"/>
    <xf numFmtId="168" fontId="9" fillId="0" borderId="8" xfId="0" applyNumberFormat="1" applyFont="1" applyBorder="1"/>
    <xf numFmtId="0" fontId="22" fillId="0" borderId="6" xfId="0" applyFont="1" applyBorder="1"/>
    <xf numFmtId="0" fontId="22" fillId="0" borderId="7" xfId="0" applyFont="1" applyBorder="1"/>
    <xf numFmtId="0" fontId="22" fillId="0" borderId="8" xfId="0" applyFont="1" applyBorder="1"/>
    <xf numFmtId="0" fontId="9" fillId="0" borderId="8" xfId="0" applyFont="1" applyBorder="1"/>
    <xf numFmtId="0" fontId="20" fillId="0" borderId="7" xfId="0" applyFont="1" applyBorder="1"/>
    <xf numFmtId="0" fontId="13" fillId="0" borderId="1" xfId="0" applyFont="1" applyBorder="1"/>
    <xf numFmtId="0" fontId="23" fillId="0" borderId="1" xfId="0" applyFont="1" applyBorder="1"/>
    <xf numFmtId="0" fontId="21" fillId="0" borderId="7" xfId="0" applyFont="1" applyBorder="1"/>
    <xf numFmtId="0" fontId="13" fillId="0" borderId="8" xfId="0" applyFont="1" applyBorder="1"/>
    <xf numFmtId="0" fontId="23" fillId="0" borderId="8" xfId="0" applyFont="1" applyBorder="1"/>
    <xf numFmtId="0" fontId="11" fillId="0" borderId="9" xfId="0" applyFont="1" applyBorder="1"/>
    <xf numFmtId="0" fontId="21" fillId="0" borderId="9" xfId="0" applyFont="1" applyBorder="1"/>
    <xf numFmtId="0" fontId="11" fillId="0" borderId="10" xfId="0" applyFont="1" applyBorder="1"/>
    <xf numFmtId="0" fontId="21" fillId="0" borderId="0" xfId="0" applyFont="1"/>
    <xf numFmtId="0" fontId="19" fillId="0" borderId="7" xfId="0" applyFont="1" applyBorder="1"/>
    <xf numFmtId="166" fontId="11" fillId="0" borderId="1" xfId="0" applyNumberFormat="1" applyFont="1" applyBorder="1"/>
    <xf numFmtId="166" fontId="13" fillId="0" borderId="1" xfId="0" applyNumberFormat="1" applyFont="1" applyBorder="1"/>
    <xf numFmtId="166" fontId="11" fillId="0" borderId="6" xfId="0" applyNumberFormat="1" applyFont="1" applyBorder="1"/>
    <xf numFmtId="166" fontId="13" fillId="0" borderId="6" xfId="0" applyNumberFormat="1" applyFont="1" applyBorder="1"/>
    <xf numFmtId="165" fontId="18" fillId="2" borderId="0" xfId="0" applyNumberFormat="1" applyFont="1" applyFill="1"/>
    <xf numFmtId="0" fontId="0" fillId="0" borderId="0" xfId="0" applyAlignment="1">
      <alignment horizontal="right"/>
    </xf>
    <xf numFmtId="0" fontId="15" fillId="0" borderId="0" xfId="0" applyFont="1" applyAlignment="1">
      <alignment horizontal="right"/>
    </xf>
    <xf numFmtId="0" fontId="15" fillId="0" borderId="5" xfId="0" applyFont="1" applyBorder="1" applyAlignment="1">
      <alignment horizontal="right"/>
    </xf>
    <xf numFmtId="0" fontId="10" fillId="0" borderId="0" xfId="0" applyFont="1" applyAlignment="1">
      <alignment horizontal="right"/>
    </xf>
    <xf numFmtId="165" fontId="17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65" fontId="12" fillId="0" borderId="0" xfId="0" quotePrefix="1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14" fillId="0" borderId="0" xfId="0" quotePrefix="1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10" fillId="2" borderId="0" xfId="0" applyFont="1" applyFill="1" applyAlignment="1">
      <alignment horizontal="right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/>
    <xf numFmtId="0" fontId="26" fillId="0" borderId="0" xfId="0" applyFont="1" applyAlignment="1">
      <alignment horizontal="right"/>
    </xf>
    <xf numFmtId="0" fontId="26" fillId="0" borderId="5" xfId="0" applyFont="1" applyBorder="1" applyAlignment="1">
      <alignment horizontal="right"/>
    </xf>
    <xf numFmtId="165" fontId="13" fillId="0" borderId="3" xfId="0" applyNumberFormat="1" applyFont="1" applyBorder="1" applyAlignment="1">
      <alignment horizontal="right"/>
    </xf>
    <xf numFmtId="165" fontId="13" fillId="0" borderId="11" xfId="0" applyNumberFormat="1" applyFont="1" applyBorder="1" applyAlignment="1">
      <alignment horizontal="right"/>
    </xf>
    <xf numFmtId="0" fontId="10" fillId="0" borderId="12" xfId="0" applyFont="1" applyBorder="1"/>
    <xf numFmtId="165" fontId="10" fillId="0" borderId="12" xfId="0" applyNumberFormat="1" applyFont="1" applyBorder="1" applyAlignment="1">
      <alignment horizontal="right"/>
    </xf>
    <xf numFmtId="165" fontId="10" fillId="0" borderId="12" xfId="0" applyNumberFormat="1" applyFont="1" applyBorder="1"/>
    <xf numFmtId="0" fontId="15" fillId="0" borderId="0" xfId="0" applyFont="1" applyAlignment="1">
      <alignment horizontal="left"/>
    </xf>
    <xf numFmtId="166" fontId="10" fillId="0" borderId="0" xfId="0" applyNumberFormat="1" applyFont="1"/>
    <xf numFmtId="166" fontId="19" fillId="0" borderId="0" xfId="0" applyNumberFormat="1" applyFont="1" applyAlignment="1">
      <alignment horizontal="center"/>
    </xf>
    <xf numFmtId="166" fontId="19" fillId="0" borderId="0" xfId="0" applyNumberFormat="1" applyFont="1"/>
    <xf numFmtId="166" fontId="10" fillId="0" borderId="1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166" fontId="10" fillId="0" borderId="1" xfId="0" applyNumberFormat="1" applyFont="1" applyBorder="1" applyAlignment="1">
      <alignment horizontal="center"/>
    </xf>
    <xf numFmtId="166" fontId="24" fillId="0" borderId="1" xfId="0" applyNumberFormat="1" applyFont="1" applyBorder="1" applyAlignment="1">
      <alignment horizontal="right"/>
    </xf>
    <xf numFmtId="166" fontId="0" fillId="0" borderId="1" xfId="0" applyNumberFormat="1" applyBorder="1"/>
    <xf numFmtId="166" fontId="10" fillId="0" borderId="1" xfId="0" applyNumberFormat="1" applyFont="1" applyBorder="1"/>
    <xf numFmtId="166" fontId="11" fillId="0" borderId="8" xfId="0" applyNumberFormat="1" applyFont="1" applyBorder="1"/>
    <xf numFmtId="166" fontId="13" fillId="0" borderId="8" xfId="0" applyNumberFormat="1" applyFont="1" applyBorder="1"/>
    <xf numFmtId="166" fontId="11" fillId="0" borderId="7" xfId="0" applyNumberFormat="1" applyFont="1" applyBorder="1"/>
    <xf numFmtId="166" fontId="13" fillId="0" borderId="7" xfId="0" applyNumberFormat="1" applyFont="1" applyBorder="1"/>
    <xf numFmtId="166" fontId="11" fillId="0" borderId="0" xfId="0" applyNumberFormat="1" applyFont="1"/>
    <xf numFmtId="166" fontId="13" fillId="0" borderId="0" xfId="0" applyNumberFormat="1" applyFont="1"/>
    <xf numFmtId="166" fontId="13" fillId="5" borderId="1" xfId="0" applyNumberFormat="1" applyFont="1" applyFill="1" applyBorder="1" applyAlignment="1">
      <alignment horizontal="right"/>
    </xf>
    <xf numFmtId="166" fontId="24" fillId="5" borderId="1" xfId="0" applyNumberFormat="1" applyFont="1" applyFill="1" applyBorder="1" applyAlignment="1">
      <alignment horizontal="center"/>
    </xf>
    <xf numFmtId="166" fontId="0" fillId="5" borderId="1" xfId="0" applyNumberFormat="1" applyFill="1" applyBorder="1"/>
    <xf numFmtId="166" fontId="11" fillId="5" borderId="1" xfId="0" applyNumberFormat="1" applyFont="1" applyFill="1" applyBorder="1"/>
    <xf numFmtId="166" fontId="11" fillId="5" borderId="6" xfId="0" applyNumberFormat="1" applyFont="1" applyFill="1" applyBorder="1"/>
    <xf numFmtId="166" fontId="11" fillId="5" borderId="7" xfId="0" applyNumberFormat="1" applyFont="1" applyFill="1" applyBorder="1"/>
    <xf numFmtId="166" fontId="11" fillId="5" borderId="9" xfId="0" applyNumberFormat="1" applyFont="1" applyFill="1" applyBorder="1"/>
    <xf numFmtId="166" fontId="11" fillId="5" borderId="0" xfId="0" applyNumberFormat="1" applyFont="1" applyFill="1"/>
    <xf numFmtId="0" fontId="0" fillId="2" borderId="0" xfId="0" applyFill="1"/>
    <xf numFmtId="0" fontId="10" fillId="2" borderId="0" xfId="0" applyFont="1" applyFill="1"/>
    <xf numFmtId="166" fontId="0" fillId="6" borderId="0" xfId="0" applyNumberFormat="1" applyFill="1"/>
    <xf numFmtId="166" fontId="3" fillId="6" borderId="0" xfId="0" applyNumberFormat="1" applyFont="1" applyFill="1"/>
    <xf numFmtId="166" fontId="0" fillId="6" borderId="0" xfId="1" applyNumberFormat="1" applyFont="1" applyFill="1" applyBorder="1"/>
    <xf numFmtId="166" fontId="0" fillId="2" borderId="0" xfId="0" applyNumberFormat="1" applyFill="1"/>
    <xf numFmtId="170" fontId="0" fillId="0" borderId="0" xfId="0" applyNumberFormat="1"/>
    <xf numFmtId="170" fontId="3" fillId="0" borderId="0" xfId="0" applyNumberFormat="1" applyFont="1"/>
    <xf numFmtId="166" fontId="10" fillId="6" borderId="0" xfId="0" applyNumberFormat="1" applyFont="1" applyFill="1"/>
    <xf numFmtId="170" fontId="10" fillId="0" borderId="0" xfId="0" applyNumberFormat="1" applyFont="1"/>
    <xf numFmtId="0" fontId="30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1" fillId="0" borderId="5" xfId="0" quotePrefix="1" applyFont="1" applyBorder="1" applyAlignment="1">
      <alignment horizontal="left"/>
    </xf>
    <xf numFmtId="0" fontId="31" fillId="0" borderId="5" xfId="0" quotePrefix="1" applyFont="1" applyBorder="1" applyAlignment="1">
      <alignment horizontal="right"/>
    </xf>
    <xf numFmtId="0" fontId="31" fillId="0" borderId="0" xfId="0" quotePrefix="1" applyFont="1" applyAlignment="1">
      <alignment horizontal="left"/>
    </xf>
    <xf numFmtId="0" fontId="30" fillId="0" borderId="0" xfId="0" applyFont="1" applyAlignment="1">
      <alignment horizontal="left"/>
    </xf>
    <xf numFmtId="167" fontId="31" fillId="0" borderId="0" xfId="0" applyNumberFormat="1" applyFont="1" applyAlignment="1">
      <alignment horizontal="right"/>
    </xf>
    <xf numFmtId="169" fontId="31" fillId="0" borderId="0" xfId="0" applyNumberFormat="1" applyFont="1" applyAlignment="1">
      <alignment horizontal="left"/>
    </xf>
    <xf numFmtId="167" fontId="31" fillId="0" borderId="5" xfId="0" applyNumberFormat="1" applyFont="1" applyBorder="1" applyAlignment="1">
      <alignment horizontal="right"/>
    </xf>
    <xf numFmtId="167" fontId="31" fillId="2" borderId="0" xfId="0" applyNumberFormat="1" applyFont="1" applyFill="1" applyAlignment="1">
      <alignment horizontal="right"/>
    </xf>
    <xf numFmtId="167" fontId="0" fillId="0" borderId="0" xfId="0" applyNumberFormat="1"/>
    <xf numFmtId="0" fontId="30" fillId="0" borderId="0" xfId="0" quotePrefix="1" applyFont="1" applyAlignment="1">
      <alignment horizontal="center"/>
    </xf>
    <xf numFmtId="169" fontId="30" fillId="2" borderId="0" xfId="0" applyNumberFormat="1" applyFont="1" applyFill="1" applyAlignment="1">
      <alignment horizontal="left"/>
    </xf>
    <xf numFmtId="0" fontId="30" fillId="2" borderId="0" xfId="0" quotePrefix="1" applyFont="1" applyFill="1" applyAlignment="1">
      <alignment horizontal="left"/>
    </xf>
    <xf numFmtId="167" fontId="30" fillId="2" borderId="0" xfId="0" applyNumberFormat="1" applyFont="1" applyFill="1" applyAlignment="1">
      <alignment horizontal="right"/>
    </xf>
    <xf numFmtId="165" fontId="32" fillId="0" borderId="0" xfId="0" applyNumberFormat="1" applyFont="1"/>
    <xf numFmtId="165" fontId="31" fillId="0" borderId="0" xfId="0" applyNumberFormat="1" applyFont="1" applyAlignment="1">
      <alignment horizontal="right"/>
    </xf>
    <xf numFmtId="165" fontId="33" fillId="0" borderId="0" xfId="0" applyNumberFormat="1" applyFont="1"/>
    <xf numFmtId="165" fontId="31" fillId="2" borderId="0" xfId="0" applyNumberFormat="1" applyFont="1" applyFill="1" applyAlignment="1">
      <alignment horizontal="right"/>
    </xf>
    <xf numFmtId="165" fontId="30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right"/>
    </xf>
    <xf numFmtId="0" fontId="34" fillId="0" borderId="0" xfId="0" applyFont="1" applyAlignment="1">
      <alignment horizontal="left"/>
    </xf>
    <xf numFmtId="9" fontId="0" fillId="0" borderId="0" xfId="2" applyFont="1" applyBorder="1"/>
    <xf numFmtId="166" fontId="10" fillId="7" borderId="0" xfId="0" applyNumberFormat="1" applyFont="1" applyFill="1"/>
    <xf numFmtId="170" fontId="10" fillId="7" borderId="0" xfId="0" applyNumberFormat="1" applyFont="1" applyFill="1"/>
    <xf numFmtId="0" fontId="10" fillId="7" borderId="0" xfId="0" applyFont="1" applyFill="1"/>
    <xf numFmtId="166" fontId="0" fillId="6" borderId="0" xfId="0" applyNumberFormat="1" applyFill="1" applyAlignment="1">
      <alignment horizontal="right"/>
    </xf>
    <xf numFmtId="170" fontId="0" fillId="0" borderId="0" xfId="0" applyNumberFormat="1" applyAlignment="1">
      <alignment horizontal="right"/>
    </xf>
    <xf numFmtId="0" fontId="35" fillId="0" borderId="0" xfId="0" applyFont="1" applyAlignment="1">
      <alignment horizontal="center"/>
    </xf>
    <xf numFmtId="170" fontId="28" fillId="0" borderId="0" xfId="0" applyNumberFormat="1" applyFont="1"/>
    <xf numFmtId="170" fontId="29" fillId="0" borderId="0" xfId="0" applyNumberFormat="1" applyFont="1"/>
    <xf numFmtId="166" fontId="29" fillId="0" borderId="0" xfId="0" applyNumberFormat="1" applyFont="1" applyAlignment="1">
      <alignment horizontal="center"/>
    </xf>
    <xf numFmtId="166" fontId="30" fillId="0" borderId="0" xfId="0" applyNumberFormat="1" applyFont="1" applyAlignment="1">
      <alignment horizontal="right"/>
    </xf>
    <xf numFmtId="171" fontId="30" fillId="0" borderId="0" xfId="0" applyNumberFormat="1" applyFont="1" applyAlignment="1">
      <alignment horizontal="right"/>
    </xf>
    <xf numFmtId="166" fontId="33" fillId="0" borderId="0" xfId="0" applyNumberFormat="1" applyFont="1"/>
    <xf numFmtId="166" fontId="31" fillId="0" borderId="0" xfId="0" applyNumberFormat="1" applyFont="1" applyAlignment="1">
      <alignment horizontal="right"/>
    </xf>
    <xf numFmtId="172" fontId="0" fillId="0" borderId="0" xfId="2" applyNumberFormat="1" applyFont="1" applyBorder="1"/>
    <xf numFmtId="170" fontId="0" fillId="0" borderId="14" xfId="0" applyNumberFormat="1" applyBorder="1"/>
    <xf numFmtId="170" fontId="0" fillId="0" borderId="13" xfId="0" applyNumberFormat="1" applyBorder="1"/>
    <xf numFmtId="0" fontId="0" fillId="0" borderId="13" xfId="0" applyBorder="1"/>
    <xf numFmtId="0" fontId="0" fillId="0" borderId="15" xfId="0" applyBorder="1"/>
    <xf numFmtId="166" fontId="0" fillId="0" borderId="16" xfId="0" applyNumberFormat="1" applyBorder="1"/>
    <xf numFmtId="166" fontId="0" fillId="0" borderId="5" xfId="0" applyNumberFormat="1" applyBorder="1"/>
    <xf numFmtId="166" fontId="0" fillId="2" borderId="17" xfId="0" applyNumberFormat="1" applyFill="1" applyBorder="1"/>
    <xf numFmtId="166" fontId="29" fillId="0" borderId="0" xfId="0" applyNumberFormat="1" applyFont="1"/>
    <xf numFmtId="0" fontId="0" fillId="0" borderId="17" xfId="0" applyBorder="1"/>
    <xf numFmtId="167" fontId="36" fillId="2" borderId="0" xfId="0" applyNumberFormat="1" applyFont="1" applyFill="1" applyAlignment="1">
      <alignment horizontal="right"/>
    </xf>
    <xf numFmtId="10" fontId="0" fillId="0" borderId="0" xfId="2" applyNumberFormat="1" applyFont="1" applyBorder="1"/>
    <xf numFmtId="167" fontId="10" fillId="0" borderId="0" xfId="0" applyNumberFormat="1" applyFont="1"/>
    <xf numFmtId="0" fontId="0" fillId="0" borderId="18" xfId="0" applyBorder="1"/>
    <xf numFmtId="3" fontId="0" fillId="0" borderId="18" xfId="0" applyNumberFormat="1" applyBorder="1"/>
    <xf numFmtId="166" fontId="0" fillId="0" borderId="18" xfId="0" applyNumberFormat="1" applyBorder="1"/>
    <xf numFmtId="0" fontId="3" fillId="0" borderId="18" xfId="0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166" fontId="3" fillId="0" borderId="18" xfId="0" applyNumberFormat="1" applyFont="1" applyBorder="1" applyAlignment="1">
      <alignment horizontal="right"/>
    </xf>
    <xf numFmtId="166" fontId="3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6" fontId="0" fillId="0" borderId="18" xfId="1" applyNumberFormat="1" applyFont="1" applyBorder="1"/>
    <xf numFmtId="0" fontId="0" fillId="2" borderId="18" xfId="0" applyFill="1" applyBorder="1"/>
    <xf numFmtId="166" fontId="0" fillId="2" borderId="18" xfId="0" applyNumberFormat="1" applyFill="1" applyBorder="1"/>
    <xf numFmtId="0" fontId="3" fillId="0" borderId="18" xfId="0" applyFont="1" applyBorder="1"/>
    <xf numFmtId="166" fontId="3" fillId="0" borderId="18" xfId="1" applyNumberFormat="1" applyFont="1" applyBorder="1"/>
    <xf numFmtId="0" fontId="29" fillId="0" borderId="18" xfId="0" applyFont="1" applyBorder="1"/>
    <xf numFmtId="166" fontId="1" fillId="0" borderId="18" xfId="0" applyNumberFormat="1" applyFont="1" applyBorder="1"/>
    <xf numFmtId="0" fontId="10" fillId="0" borderId="18" xfId="0" applyFont="1" applyBorder="1" applyAlignment="1">
      <alignment horizontal="right"/>
    </xf>
    <xf numFmtId="166" fontId="10" fillId="0" borderId="18" xfId="1" applyNumberFormat="1" applyFont="1" applyBorder="1"/>
    <xf numFmtId="0" fontId="35" fillId="0" borderId="18" xfId="0" applyFont="1" applyBorder="1"/>
    <xf numFmtId="0" fontId="3" fillId="0" borderId="18" xfId="0" applyFont="1" applyBorder="1" applyAlignment="1">
      <alignment horizontal="right"/>
    </xf>
    <xf numFmtId="166" fontId="1" fillId="0" borderId="18" xfId="1" applyNumberFormat="1" applyFont="1" applyBorder="1"/>
    <xf numFmtId="166" fontId="3" fillId="0" borderId="18" xfId="0" applyNumberFormat="1" applyFont="1" applyBorder="1"/>
    <xf numFmtId="0" fontId="0" fillId="0" borderId="18" xfId="0" applyBorder="1" applyAlignment="1">
      <alignment horizontal="right"/>
    </xf>
    <xf numFmtId="166" fontId="10" fillId="0" borderId="18" xfId="0" applyNumberFormat="1" applyFont="1" applyBorder="1"/>
    <xf numFmtId="166" fontId="29" fillId="0" borderId="18" xfId="0" applyNumberFormat="1" applyFont="1" applyBorder="1"/>
    <xf numFmtId="0" fontId="10" fillId="0" borderId="18" xfId="0" applyFont="1" applyBorder="1"/>
    <xf numFmtId="0" fontId="1" fillId="0" borderId="18" xfId="0" applyFont="1" applyBorder="1"/>
    <xf numFmtId="0" fontId="3" fillId="7" borderId="18" xfId="0" applyFont="1" applyFill="1" applyBorder="1"/>
    <xf numFmtId="0" fontId="3" fillId="6" borderId="18" xfId="0" applyFont="1" applyFill="1" applyBorder="1"/>
    <xf numFmtId="0" fontId="0" fillId="6" borderId="18" xfId="0" applyFill="1" applyBorder="1"/>
    <xf numFmtId="166" fontId="3" fillId="6" borderId="18" xfId="1" applyNumberFormat="1" applyFont="1" applyFill="1" applyBorder="1"/>
    <xf numFmtId="166" fontId="0" fillId="4" borderId="18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166" fontId="0" fillId="8" borderId="19" xfId="0" applyNumberFormat="1" applyFill="1" applyBorder="1"/>
    <xf numFmtId="166" fontId="0" fillId="8" borderId="18" xfId="0" applyNumberFormat="1" applyFill="1" applyBorder="1"/>
    <xf numFmtId="17" fontId="5" fillId="8" borderId="1" xfId="0" quotePrefix="1" applyNumberFormat="1" applyFont="1" applyFill="1" applyBorder="1" applyAlignment="1">
      <alignment horizontal="center"/>
    </xf>
    <xf numFmtId="166" fontId="3" fillId="8" borderId="19" xfId="0" applyNumberFormat="1" applyFont="1" applyFill="1" applyBorder="1"/>
    <xf numFmtId="166" fontId="3" fillId="8" borderId="18" xfId="0" applyNumberFormat="1" applyFont="1" applyFill="1" applyBorder="1"/>
    <xf numFmtId="0" fontId="5" fillId="8" borderId="6" xfId="0" applyFont="1" applyFill="1" applyBorder="1" applyAlignment="1">
      <alignment horizontal="center"/>
    </xf>
    <xf numFmtId="166" fontId="10" fillId="8" borderId="18" xfId="0" applyNumberFormat="1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3" fontId="3" fillId="8" borderId="18" xfId="0" applyNumberFormat="1" applyFont="1" applyFill="1" applyBorder="1" applyAlignment="1">
      <alignment horizontal="center"/>
    </xf>
    <xf numFmtId="166" fontId="3" fillId="8" borderId="18" xfId="0" applyNumberFormat="1" applyFont="1" applyFill="1" applyBorder="1" applyAlignment="1">
      <alignment horizontal="center"/>
    </xf>
    <xf numFmtId="0" fontId="37" fillId="8" borderId="2" xfId="0" applyFont="1" applyFill="1" applyBorder="1" applyAlignment="1">
      <alignment horizontal="left"/>
    </xf>
    <xf numFmtId="0" fontId="37" fillId="8" borderId="3" xfId="0" applyFont="1" applyFill="1" applyBorder="1" applyAlignment="1">
      <alignment horizontal="left"/>
    </xf>
    <xf numFmtId="0" fontId="37" fillId="8" borderId="4" xfId="0" applyFont="1" applyFill="1" applyBorder="1" applyAlignment="1">
      <alignment horizontal="left"/>
    </xf>
    <xf numFmtId="0" fontId="19" fillId="8" borderId="13" xfId="0" applyFont="1" applyFill="1" applyBorder="1" applyAlignment="1">
      <alignment horizontal="center"/>
    </xf>
    <xf numFmtId="0" fontId="19" fillId="8" borderId="15" xfId="0" applyFont="1" applyFill="1" applyBorder="1" applyAlignment="1">
      <alignment horizontal="center"/>
    </xf>
    <xf numFmtId="0" fontId="19" fillId="8" borderId="14" xfId="0" applyFont="1" applyFill="1" applyBorder="1" applyAlignment="1">
      <alignment horizontal="left"/>
    </xf>
    <xf numFmtId="0" fontId="10" fillId="8" borderId="18" xfId="0" applyFont="1" applyFill="1" applyBorder="1"/>
    <xf numFmtId="3" fontId="10" fillId="8" borderId="18" xfId="0" applyNumberFormat="1" applyFont="1" applyFill="1" applyBorder="1"/>
    <xf numFmtId="166" fontId="10" fillId="8" borderId="18" xfId="0" applyNumberFormat="1" applyFont="1" applyFill="1" applyBorder="1"/>
    <xf numFmtId="0" fontId="0" fillId="0" borderId="21" xfId="0" applyBorder="1"/>
    <xf numFmtId="166" fontId="0" fillId="0" borderId="21" xfId="1" applyNumberFormat="1" applyFont="1" applyBorder="1"/>
    <xf numFmtId="166" fontId="0" fillId="0" borderId="21" xfId="0" applyNumberFormat="1" applyBorder="1"/>
    <xf numFmtId="0" fontId="0" fillId="0" borderId="22" xfId="0" applyBorder="1"/>
    <xf numFmtId="166" fontId="0" fillId="0" borderId="22" xfId="1" applyNumberFormat="1" applyFont="1" applyBorder="1"/>
    <xf numFmtId="166" fontId="0" fillId="0" borderId="22" xfId="0" applyNumberFormat="1" applyBorder="1"/>
    <xf numFmtId="0" fontId="3" fillId="0" borderId="20" xfId="0" applyFont="1" applyBorder="1"/>
    <xf numFmtId="166" fontId="3" fillId="0" borderId="20" xfId="1" applyNumberFormat="1" applyFont="1" applyBorder="1"/>
    <xf numFmtId="0" fontId="5" fillId="0" borderId="18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66" fontId="10" fillId="4" borderId="0" xfId="0" applyNumberFormat="1" applyFont="1" applyFill="1"/>
    <xf numFmtId="0" fontId="38" fillId="0" borderId="0" xfId="0" applyFont="1" applyAlignment="1">
      <alignment horizontal="center"/>
    </xf>
    <xf numFmtId="15" fontId="0" fillId="0" borderId="0" xfId="0" applyNumberFormat="1"/>
    <xf numFmtId="0" fontId="37" fillId="0" borderId="0" xfId="0" applyFont="1" applyAlignment="1">
      <alignment horizontal="center"/>
    </xf>
    <xf numFmtId="0" fontId="0" fillId="0" borderId="0" xfId="0" applyAlignment="1">
      <alignment wrapText="1"/>
    </xf>
    <xf numFmtId="0" fontId="15" fillId="0" borderId="0" xfId="0" applyFont="1"/>
    <xf numFmtId="0" fontId="10" fillId="0" borderId="0" xfId="0" applyFont="1" applyAlignment="1">
      <alignment wrapText="1"/>
    </xf>
    <xf numFmtId="164" fontId="0" fillId="0" borderId="0" xfId="1" applyNumberFormat="1" applyFont="1" applyAlignment="1"/>
    <xf numFmtId="0" fontId="10" fillId="0" borderId="1" xfId="0" applyFont="1" applyBorder="1" applyAlignment="1">
      <alignment horizontal="center"/>
    </xf>
    <xf numFmtId="166" fontId="10" fillId="0" borderId="22" xfId="0" applyNumberFormat="1" applyFont="1" applyBorder="1"/>
    <xf numFmtId="0" fontId="10" fillId="0" borderId="22" xfId="0" applyFont="1" applyBorder="1" applyAlignment="1">
      <alignment horizontal="right"/>
    </xf>
    <xf numFmtId="166" fontId="3" fillId="2" borderId="18" xfId="1" applyNumberFormat="1" applyFont="1" applyFill="1" applyBorder="1"/>
    <xf numFmtId="166" fontId="1" fillId="2" borderId="18" xfId="1" applyNumberFormat="1" applyFont="1" applyFill="1" applyBorder="1"/>
    <xf numFmtId="0" fontId="0" fillId="0" borderId="22" xfId="0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73" fontId="0" fillId="0" borderId="1" xfId="0" applyNumberFormat="1" applyBorder="1" applyProtection="1">
      <protection locked="0"/>
    </xf>
    <xf numFmtId="173" fontId="0" fillId="0" borderId="0" xfId="0" applyNumberFormat="1" applyProtection="1">
      <protection locked="0"/>
    </xf>
    <xf numFmtId="0" fontId="34" fillId="0" borderId="0" xfId="0" applyFont="1"/>
    <xf numFmtId="0" fontId="39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0" fillId="0" borderId="1" xfId="0" applyNumberFormat="1" applyBorder="1"/>
    <xf numFmtId="0" fontId="3" fillId="0" borderId="1" xfId="0" applyFont="1" applyBorder="1"/>
    <xf numFmtId="3" fontId="3" fillId="0" borderId="0" xfId="0" applyNumberFormat="1" applyFont="1"/>
    <xf numFmtId="0" fontId="5" fillId="0" borderId="1" xfId="0" applyFont="1" applyBorder="1"/>
    <xf numFmtId="3" fontId="3" fillId="0" borderId="1" xfId="0" applyNumberFormat="1" applyFont="1" applyBorder="1"/>
    <xf numFmtId="3" fontId="4" fillId="0" borderId="0" xfId="0" applyNumberFormat="1" applyFont="1"/>
    <xf numFmtId="164" fontId="0" fillId="0" borderId="0" xfId="1" applyNumberFormat="1" applyFont="1" applyBorder="1" applyAlignment="1"/>
    <xf numFmtId="164" fontId="3" fillId="0" borderId="0" xfId="1" applyNumberFormat="1" applyFont="1" applyBorder="1" applyAlignment="1"/>
    <xf numFmtId="3" fontId="6" fillId="0" borderId="0" xfId="0" applyNumberFormat="1" applyFont="1"/>
    <xf numFmtId="164" fontId="7" fillId="0" borderId="0" xfId="1" applyNumberFormat="1" applyFont="1" applyBorder="1" applyAlignment="1"/>
    <xf numFmtId="164" fontId="3" fillId="0" borderId="0" xfId="0" applyNumberFormat="1" applyFont="1"/>
    <xf numFmtId="166" fontId="3" fillId="0" borderId="0" xfId="0" applyNumberFormat="1" applyFont="1"/>
    <xf numFmtId="0" fontId="0" fillId="0" borderId="1" xfId="0" applyBorder="1" applyAlignment="1">
      <alignment horizontal="right"/>
    </xf>
    <xf numFmtId="166" fontId="3" fillId="0" borderId="3" xfId="0" applyNumberFormat="1" applyFont="1" applyBorder="1" applyAlignment="1">
      <alignment horizontal="center"/>
    </xf>
    <xf numFmtId="166" fontId="0" fillId="0" borderId="1" xfId="1" applyNumberFormat="1" applyFont="1" applyBorder="1" applyAlignment="1"/>
    <xf numFmtId="166" fontId="4" fillId="0" borderId="1" xfId="0" applyNumberFormat="1" applyFont="1" applyBorder="1"/>
    <xf numFmtId="166" fontId="4" fillId="0" borderId="1" xfId="1" applyNumberFormat="1" applyFont="1" applyBorder="1" applyAlignment="1"/>
    <xf numFmtId="166" fontId="3" fillId="0" borderId="1" xfId="0" applyNumberFormat="1" applyFont="1" applyBorder="1"/>
    <xf numFmtId="166" fontId="3" fillId="0" borderId="1" xfId="1" applyNumberFormat="1" applyFont="1" applyBorder="1" applyAlignment="1"/>
    <xf numFmtId="166" fontId="0" fillId="0" borderId="1" xfId="0" applyNumberFormat="1" applyBorder="1" applyAlignment="1">
      <alignment horizontal="right"/>
    </xf>
    <xf numFmtId="166" fontId="1" fillId="0" borderId="1" xfId="1" applyNumberFormat="1" applyFont="1" applyBorder="1" applyAlignment="1"/>
    <xf numFmtId="166" fontId="7" fillId="0" borderId="1" xfId="0" applyNumberFormat="1" applyFont="1" applyBorder="1"/>
    <xf numFmtId="166" fontId="7" fillId="0" borderId="1" xfId="1" applyNumberFormat="1" applyFont="1" applyBorder="1" applyAlignment="1"/>
    <xf numFmtId="166" fontId="4" fillId="0" borderId="0" xfId="0" applyNumberFormat="1" applyFont="1"/>
    <xf numFmtId="166" fontId="0" fillId="0" borderId="0" xfId="1" applyNumberFormat="1" applyFont="1" applyBorder="1" applyAlignment="1"/>
    <xf numFmtId="166" fontId="3" fillId="0" borderId="0" xfId="1" applyNumberFormat="1" applyFont="1" applyBorder="1" applyAlignment="1"/>
    <xf numFmtId="166" fontId="6" fillId="0" borderId="0" xfId="0" applyNumberFormat="1" applyFont="1"/>
    <xf numFmtId="166" fontId="7" fillId="0" borderId="0" xfId="1" applyNumberFormat="1" applyFont="1" applyBorder="1" applyAlignment="1"/>
    <xf numFmtId="166" fontId="10" fillId="8" borderId="23" xfId="0" applyNumberFormat="1" applyFont="1" applyFill="1" applyBorder="1" applyAlignment="1">
      <alignment horizontal="center"/>
    </xf>
    <xf numFmtId="166" fontId="3" fillId="8" borderId="23" xfId="0" applyNumberFormat="1" applyFont="1" applyFill="1" applyBorder="1" applyAlignment="1">
      <alignment horizontal="center"/>
    </xf>
    <xf numFmtId="166" fontId="0" fillId="0" borderId="4" xfId="0" applyNumberFormat="1" applyBorder="1"/>
    <xf numFmtId="166" fontId="3" fillId="0" borderId="4" xfId="0" applyNumberFormat="1" applyFont="1" applyBorder="1"/>
    <xf numFmtId="166" fontId="11" fillId="0" borderId="1" xfId="0" applyNumberFormat="1" applyFont="1" applyBorder="1" applyAlignment="1">
      <alignment horizontal="center"/>
    </xf>
    <xf numFmtId="0" fontId="3" fillId="0" borderId="3" xfId="0" applyFont="1" applyBorder="1"/>
    <xf numFmtId="0" fontId="1" fillId="0" borderId="3" xfId="0" applyFont="1" applyBorder="1"/>
    <xf numFmtId="0" fontId="0" fillId="0" borderId="3" xfId="0" applyBorder="1"/>
    <xf numFmtId="166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3" fillId="0" borderId="2" xfId="0" applyFont="1" applyBorder="1"/>
    <xf numFmtId="0" fontId="0" fillId="0" borderId="24" xfId="0" applyBorder="1"/>
    <xf numFmtId="0" fontId="10" fillId="0" borderId="24" xfId="0" applyFont="1" applyBorder="1"/>
    <xf numFmtId="3" fontId="10" fillId="8" borderId="25" xfId="0" applyNumberFormat="1" applyFont="1" applyFill="1" applyBorder="1"/>
    <xf numFmtId="3" fontId="3" fillId="8" borderId="25" xfId="0" applyNumberFormat="1" applyFont="1" applyFill="1" applyBorder="1" applyAlignment="1">
      <alignment horizontal="center"/>
    </xf>
    <xf numFmtId="3" fontId="0" fillId="0" borderId="4" xfId="0" applyNumberFormat="1" applyBorder="1"/>
    <xf numFmtId="0" fontId="0" fillId="0" borderId="4" xfId="0" applyBorder="1"/>
    <xf numFmtId="3" fontId="3" fillId="0" borderId="4" xfId="0" applyNumberFormat="1" applyFont="1" applyBorder="1"/>
    <xf numFmtId="164" fontId="3" fillId="0" borderId="4" xfId="1" applyNumberFormat="1" applyFont="1" applyBorder="1" applyAlignment="1"/>
    <xf numFmtId="166" fontId="0" fillId="0" borderId="25" xfId="0" applyNumberFormat="1" applyBorder="1"/>
    <xf numFmtId="3" fontId="3" fillId="0" borderId="18" xfId="0" applyNumberFormat="1" applyFont="1" applyBorder="1"/>
    <xf numFmtId="3" fontId="0" fillId="0" borderId="3" xfId="0" applyNumberFormat="1" applyBorder="1"/>
    <xf numFmtId="3" fontId="4" fillId="0" borderId="3" xfId="0" applyNumberFormat="1" applyFont="1" applyBorder="1"/>
    <xf numFmtId="3" fontId="3" fillId="0" borderId="3" xfId="0" applyNumberFormat="1" applyFont="1" applyBorder="1"/>
    <xf numFmtId="3" fontId="0" fillId="0" borderId="3" xfId="0" applyNumberFormat="1" applyBorder="1" applyAlignment="1">
      <alignment horizontal="right"/>
    </xf>
    <xf numFmtId="166" fontId="0" fillId="0" borderId="26" xfId="0" applyNumberFormat="1" applyBorder="1"/>
    <xf numFmtId="164" fontId="0" fillId="0" borderId="4" xfId="1" applyNumberFormat="1" applyFont="1" applyBorder="1" applyAlignment="1"/>
    <xf numFmtId="164" fontId="4" fillId="0" borderId="4" xfId="1" applyNumberFormat="1" applyFont="1" applyBorder="1" applyAlignment="1"/>
    <xf numFmtId="164" fontId="1" fillId="0" borderId="4" xfId="1" applyNumberFormat="1" applyFont="1" applyBorder="1" applyAlignment="1"/>
    <xf numFmtId="0" fontId="3" fillId="0" borderId="4" xfId="0" applyFont="1" applyBorder="1"/>
    <xf numFmtId="3" fontId="0" fillId="2" borderId="18" xfId="0" applyNumberFormat="1" applyFill="1" applyBorder="1"/>
    <xf numFmtId="166" fontId="10" fillId="8" borderId="22" xfId="0" applyNumberFormat="1" applyFont="1" applyFill="1" applyBorder="1" applyAlignment="1">
      <alignment horizontal="center"/>
    </xf>
    <xf numFmtId="166" fontId="10" fillId="0" borderId="13" xfId="0" applyNumberFormat="1" applyFont="1" applyBorder="1"/>
    <xf numFmtId="166" fontId="0" fillId="2" borderId="1" xfId="0" applyNumberFormat="1" applyFill="1" applyBorder="1"/>
    <xf numFmtId="3" fontId="3" fillId="0" borderId="3" xfId="0" applyNumberFormat="1" applyFont="1" applyBorder="1" applyAlignment="1">
      <alignment horizontal="right"/>
    </xf>
    <xf numFmtId="0" fontId="34" fillId="0" borderId="24" xfId="0" applyFont="1" applyBorder="1" applyAlignment="1">
      <alignment horizontal="center"/>
    </xf>
    <xf numFmtId="0" fontId="10" fillId="0" borderId="28" xfId="0" applyFont="1" applyBorder="1"/>
    <xf numFmtId="166" fontId="10" fillId="0" borderId="28" xfId="0" applyNumberFormat="1" applyFont="1" applyBorder="1"/>
    <xf numFmtId="0" fontId="0" fillId="0" borderId="29" xfId="0" applyBorder="1"/>
    <xf numFmtId="0" fontId="10" fillId="0" borderId="30" xfId="0" applyFont="1" applyBorder="1" applyAlignment="1">
      <alignment horizontal="right"/>
    </xf>
    <xf numFmtId="0" fontId="0" fillId="0" borderId="32" xfId="0" applyBorder="1"/>
    <xf numFmtId="166" fontId="0" fillId="0" borderId="33" xfId="0" applyNumberFormat="1" applyBorder="1"/>
    <xf numFmtId="0" fontId="3" fillId="6" borderId="34" xfId="0" applyFont="1" applyFill="1" applyBorder="1"/>
    <xf numFmtId="0" fontId="0" fillId="6" borderId="31" xfId="0" applyFill="1" applyBorder="1"/>
    <xf numFmtId="166" fontId="10" fillId="6" borderId="31" xfId="0" applyNumberFormat="1" applyFont="1" applyFill="1" applyBorder="1"/>
    <xf numFmtId="0" fontId="10" fillId="0" borderId="35" xfId="0" applyFont="1" applyBorder="1"/>
    <xf numFmtId="0" fontId="5" fillId="0" borderId="2" xfId="0" applyFont="1" applyBorder="1" applyAlignment="1">
      <alignment horizontal="center"/>
    </xf>
    <xf numFmtId="0" fontId="3" fillId="6" borderId="31" xfId="0" applyFont="1" applyFill="1" applyBorder="1"/>
    <xf numFmtId="0" fontId="10" fillId="6" borderId="34" xfId="0" applyFont="1" applyFill="1" applyBorder="1"/>
    <xf numFmtId="0" fontId="0" fillId="0" borderId="33" xfId="0" applyBorder="1"/>
    <xf numFmtId="0" fontId="0" fillId="0" borderId="14" xfId="0" applyBorder="1"/>
    <xf numFmtId="3" fontId="0" fillId="0" borderId="13" xfId="0" applyNumberFormat="1" applyBorder="1"/>
    <xf numFmtId="0" fontId="0" fillId="0" borderId="16" xfId="0" applyBorder="1"/>
    <xf numFmtId="3" fontId="4" fillId="0" borderId="5" xfId="0" applyNumberFormat="1" applyFont="1" applyBorder="1"/>
    <xf numFmtId="164" fontId="3" fillId="0" borderId="28" xfId="1" applyNumberFormat="1" applyFont="1" applyBorder="1" applyAlignment="1"/>
    <xf numFmtId="164" fontId="3" fillId="0" borderId="27" xfId="1" applyNumberFormat="1" applyFont="1" applyBorder="1" applyAlignment="1"/>
    <xf numFmtId="0" fontId="10" fillId="0" borderId="36" xfId="0" applyFont="1" applyBorder="1" applyAlignment="1">
      <alignment horizontal="right"/>
    </xf>
    <xf numFmtId="0" fontId="10" fillId="0" borderId="37" xfId="0" applyFont="1" applyBorder="1"/>
    <xf numFmtId="166" fontId="10" fillId="0" borderId="36" xfId="0" applyNumberFormat="1" applyFont="1" applyBorder="1"/>
    <xf numFmtId="0" fontId="10" fillId="9" borderId="18" xfId="0" applyFont="1" applyFill="1" applyBorder="1"/>
    <xf numFmtId="166" fontId="10" fillId="9" borderId="0" xfId="0" applyNumberFormat="1" applyFont="1" applyFill="1"/>
    <xf numFmtId="170" fontId="10" fillId="9" borderId="0" xfId="0" applyNumberFormat="1" applyFont="1" applyFill="1"/>
    <xf numFmtId="0" fontId="10" fillId="9" borderId="0" xfId="0" applyFont="1" applyFill="1"/>
    <xf numFmtId="166" fontId="24" fillId="8" borderId="18" xfId="0" applyNumberFormat="1" applyFont="1" applyFill="1" applyBorder="1"/>
    <xf numFmtId="3" fontId="24" fillId="8" borderId="18" xfId="0" applyNumberFormat="1" applyFont="1" applyFill="1" applyBorder="1"/>
    <xf numFmtId="166" fontId="24" fillId="8" borderId="18" xfId="0" applyNumberFormat="1" applyFont="1" applyFill="1" applyBorder="1" applyAlignment="1">
      <alignment horizontal="center"/>
    </xf>
    <xf numFmtId="0" fontId="24" fillId="8" borderId="18" xfId="0" applyFont="1" applyFill="1" applyBorder="1"/>
    <xf numFmtId="166" fontId="40" fillId="8" borderId="18" xfId="0" applyNumberFormat="1" applyFont="1" applyFill="1" applyBorder="1" applyAlignment="1">
      <alignment horizontal="center"/>
    </xf>
    <xf numFmtId="3" fontId="40" fillId="8" borderId="18" xfId="0" applyNumberFormat="1" applyFont="1" applyFill="1" applyBorder="1" applyAlignment="1">
      <alignment horizontal="center"/>
    </xf>
    <xf numFmtId="0" fontId="40" fillId="8" borderId="18" xfId="0" applyFont="1" applyFill="1" applyBorder="1" applyAlignment="1">
      <alignment horizontal="center"/>
    </xf>
    <xf numFmtId="166" fontId="29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right" vertical="center"/>
    </xf>
    <xf numFmtId="166" fontId="40" fillId="8" borderId="18" xfId="0" applyNumberFormat="1" applyFont="1" applyFill="1" applyBorder="1" applyAlignment="1">
      <alignment horizontal="right" vertical="center"/>
    </xf>
    <xf numFmtId="3" fontId="40" fillId="8" borderId="18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170" fontId="29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6" fontId="29" fillId="0" borderId="0" xfId="0" applyNumberFormat="1" applyFont="1" applyAlignment="1">
      <alignment horizontal="right" vertical="center"/>
    </xf>
    <xf numFmtId="166" fontId="11" fillId="2" borderId="1" xfId="0" applyNumberFormat="1" applyFont="1" applyFill="1" applyBorder="1"/>
    <xf numFmtId="0" fontId="41" fillId="0" borderId="1" xfId="0" applyFont="1" applyBorder="1"/>
    <xf numFmtId="166" fontId="41" fillId="5" borderId="1" xfId="0" applyNumberFormat="1" applyFont="1" applyFill="1" applyBorder="1"/>
    <xf numFmtId="166" fontId="35" fillId="8" borderId="18" xfId="0" applyNumberFormat="1" applyFont="1" applyFill="1" applyBorder="1" applyAlignment="1">
      <alignment horizontal="center"/>
    </xf>
    <xf numFmtId="166" fontId="0" fillId="10" borderId="18" xfId="0" applyNumberFormat="1" applyFill="1" applyBorder="1"/>
    <xf numFmtId="0" fontId="10" fillId="8" borderId="18" xfId="0" applyFont="1" applyFill="1" applyBorder="1" applyAlignment="1">
      <alignment horizontal="right"/>
    </xf>
    <xf numFmtId="0" fontId="36" fillId="0" borderId="0" xfId="0" quotePrefix="1" applyFont="1" applyAlignment="1">
      <alignment horizontal="right"/>
    </xf>
    <xf numFmtId="0" fontId="36" fillId="0" borderId="0" xfId="0" quotePrefix="1" applyFont="1" applyAlignment="1">
      <alignment horizontal="left"/>
    </xf>
    <xf numFmtId="167" fontId="36" fillId="0" borderId="0" xfId="0" applyNumberFormat="1" applyFont="1" applyAlignment="1">
      <alignment horizontal="right"/>
    </xf>
    <xf numFmtId="16" fontId="0" fillId="0" borderId="0" xfId="0" applyNumberFormat="1"/>
    <xf numFmtId="0" fontId="12" fillId="0" borderId="0" xfId="0" applyFont="1" applyAlignment="1">
      <alignment horizontal="left"/>
    </xf>
    <xf numFmtId="0" fontId="12" fillId="0" borderId="0" xfId="0" quotePrefix="1" applyFont="1" applyAlignment="1">
      <alignment horizontal="center"/>
    </xf>
    <xf numFmtId="0" fontId="12" fillId="0" borderId="5" xfId="0" quotePrefix="1" applyFont="1" applyBorder="1" applyAlignment="1">
      <alignment horizontal="right"/>
    </xf>
    <xf numFmtId="0" fontId="12" fillId="0" borderId="5" xfId="0" quotePrefix="1" applyFont="1" applyBorder="1" applyAlignment="1">
      <alignment horizontal="left"/>
    </xf>
    <xf numFmtId="167" fontId="12" fillId="0" borderId="5" xfId="0" applyNumberFormat="1" applyFont="1" applyBorder="1" applyAlignment="1">
      <alignment horizontal="right"/>
    </xf>
    <xf numFmtId="167" fontId="12" fillId="0" borderId="38" xfId="0" applyNumberFormat="1" applyFont="1" applyBorder="1" applyAlignment="1">
      <alignment horizontal="right"/>
    </xf>
    <xf numFmtId="172" fontId="0" fillId="0" borderId="0" xfId="2" applyNumberFormat="1" applyFont="1"/>
    <xf numFmtId="0" fontId="29" fillId="0" borderId="0" xfId="0" applyFont="1"/>
    <xf numFmtId="170" fontId="0" fillId="0" borderId="0" xfId="0" quotePrefix="1" applyNumberFormat="1"/>
    <xf numFmtId="166" fontId="11" fillId="8" borderId="0" xfId="0" applyNumberFormat="1" applyFont="1" applyFill="1"/>
    <xf numFmtId="166" fontId="11" fillId="8" borderId="18" xfId="0" applyNumberFormat="1" applyFont="1" applyFill="1" applyBorder="1"/>
    <xf numFmtId="3" fontId="11" fillId="8" borderId="1" xfId="0" applyNumberFormat="1" applyFont="1" applyFill="1" applyBorder="1"/>
    <xf numFmtId="166" fontId="11" fillId="8" borderId="19" xfId="0" applyNumberFormat="1" applyFont="1" applyFill="1" applyBorder="1"/>
    <xf numFmtId="0" fontId="11" fillId="8" borderId="1" xfId="0" applyFont="1" applyFill="1" applyBorder="1"/>
    <xf numFmtId="166" fontId="22" fillId="8" borderId="0" xfId="0" applyNumberFormat="1" applyFont="1" applyFill="1" applyAlignment="1">
      <alignment horizontal="left"/>
    </xf>
    <xf numFmtId="166" fontId="22" fillId="8" borderId="18" xfId="0" applyNumberFormat="1" applyFont="1" applyFill="1" applyBorder="1"/>
    <xf numFmtId="0" fontId="22" fillId="8" borderId="4" xfId="0" applyFont="1" applyFill="1" applyBorder="1" applyAlignment="1">
      <alignment horizontal="left"/>
    </xf>
    <xf numFmtId="166" fontId="22" fillId="8" borderId="19" xfId="0" applyNumberFormat="1" applyFont="1" applyFill="1" applyBorder="1"/>
    <xf numFmtId="0" fontId="22" fillId="8" borderId="3" xfId="0" applyFont="1" applyFill="1" applyBorder="1" applyAlignment="1">
      <alignment horizontal="left"/>
    </xf>
    <xf numFmtId="0" fontId="22" fillId="8" borderId="15" xfId="0" applyFont="1" applyFill="1" applyBorder="1" applyAlignment="1">
      <alignment horizontal="center"/>
    </xf>
    <xf numFmtId="0" fontId="22" fillId="8" borderId="13" xfId="0" applyFont="1" applyFill="1" applyBorder="1" applyAlignment="1">
      <alignment horizontal="center"/>
    </xf>
    <xf numFmtId="166" fontId="13" fillId="8" borderId="18" xfId="0" applyNumberFormat="1" applyFont="1" applyFill="1" applyBorder="1"/>
    <xf numFmtId="3" fontId="13" fillId="8" borderId="18" xfId="0" applyNumberFormat="1" applyFont="1" applyFill="1" applyBorder="1"/>
    <xf numFmtId="166" fontId="13" fillId="8" borderId="18" xfId="0" applyNumberFormat="1" applyFont="1" applyFill="1" applyBorder="1" applyAlignment="1">
      <alignment horizontal="center"/>
    </xf>
    <xf numFmtId="0" fontId="13" fillId="8" borderId="18" xfId="0" applyFont="1" applyFill="1" applyBorder="1"/>
    <xf numFmtId="166" fontId="42" fillId="8" borderId="18" xfId="0" applyNumberFormat="1" applyFont="1" applyFill="1" applyBorder="1" applyAlignment="1">
      <alignment horizontal="center"/>
    </xf>
    <xf numFmtId="166" fontId="22" fillId="8" borderId="18" xfId="0" applyNumberFormat="1" applyFont="1" applyFill="1" applyBorder="1" applyAlignment="1">
      <alignment horizontal="center"/>
    </xf>
    <xf numFmtId="3" fontId="22" fillId="8" borderId="18" xfId="0" applyNumberFormat="1" applyFont="1" applyFill="1" applyBorder="1" applyAlignment="1">
      <alignment horizontal="center"/>
    </xf>
    <xf numFmtId="0" fontId="22" fillId="8" borderId="18" xfId="0" applyFont="1" applyFill="1" applyBorder="1" applyAlignment="1">
      <alignment horizontal="center"/>
    </xf>
    <xf numFmtId="166" fontId="11" fillId="0" borderId="18" xfId="0" applyNumberFormat="1" applyFont="1" applyBorder="1"/>
    <xf numFmtId="166" fontId="22" fillId="0" borderId="18" xfId="0" applyNumberFormat="1" applyFont="1" applyBorder="1" applyAlignment="1">
      <alignment horizontal="center"/>
    </xf>
    <xf numFmtId="3" fontId="22" fillId="0" borderId="18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3" fontId="11" fillId="0" borderId="18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3" fontId="11" fillId="0" borderId="18" xfId="0" applyNumberFormat="1" applyFont="1" applyBorder="1"/>
    <xf numFmtId="166" fontId="11" fillId="0" borderId="18" xfId="1" applyNumberFormat="1" applyFont="1" applyBorder="1"/>
    <xf numFmtId="166" fontId="11" fillId="2" borderId="18" xfId="0" applyNumberFormat="1" applyFont="1" applyFill="1" applyBorder="1"/>
    <xf numFmtId="166" fontId="11" fillId="4" borderId="18" xfId="0" applyNumberFormat="1" applyFont="1" applyFill="1" applyBorder="1"/>
    <xf numFmtId="166" fontId="11" fillId="2" borderId="18" xfId="1" applyNumberFormat="1" applyFont="1" applyFill="1" applyBorder="1"/>
    <xf numFmtId="166" fontId="43" fillId="0" borderId="18" xfId="0" applyNumberFormat="1" applyFont="1" applyBorder="1"/>
    <xf numFmtId="166" fontId="22" fillId="0" borderId="18" xfId="1" applyNumberFormat="1" applyFont="1" applyBorder="1"/>
    <xf numFmtId="166" fontId="41" fillId="0" borderId="18" xfId="0" applyNumberFormat="1" applyFont="1" applyBorder="1"/>
    <xf numFmtId="166" fontId="11" fillId="10" borderId="18" xfId="0" applyNumberFormat="1" applyFont="1" applyFill="1" applyBorder="1"/>
    <xf numFmtId="166" fontId="11" fillId="0" borderId="21" xfId="0" applyNumberFormat="1" applyFont="1" applyBorder="1"/>
    <xf numFmtId="166" fontId="11" fillId="0" borderId="21" xfId="1" applyNumberFormat="1" applyFont="1" applyBorder="1"/>
    <xf numFmtId="166" fontId="22" fillId="0" borderId="20" xfId="1" applyNumberFormat="1" applyFont="1" applyBorder="1"/>
    <xf numFmtId="166" fontId="11" fillId="0" borderId="22" xfId="0" applyNumberFormat="1" applyFont="1" applyBorder="1"/>
    <xf numFmtId="166" fontId="11" fillId="0" borderId="22" xfId="1" applyNumberFormat="1" applyFont="1" applyBorder="1"/>
    <xf numFmtId="166" fontId="44" fillId="0" borderId="18" xfId="0" applyNumberFormat="1" applyFont="1" applyBorder="1"/>
    <xf numFmtId="166" fontId="13" fillId="0" borderId="18" xfId="1" applyNumberFormat="1" applyFont="1" applyBorder="1"/>
    <xf numFmtId="166" fontId="41" fillId="2" borderId="18" xfId="0" applyNumberFormat="1" applyFont="1" applyFill="1" applyBorder="1"/>
    <xf numFmtId="166" fontId="45" fillId="0" borderId="18" xfId="0" applyNumberFormat="1" applyFont="1" applyBorder="1"/>
    <xf numFmtId="166" fontId="42" fillId="0" borderId="18" xfId="1" applyNumberFormat="1" applyFont="1" applyBorder="1"/>
    <xf numFmtId="166" fontId="44" fillId="0" borderId="18" xfId="1" applyNumberFormat="1" applyFont="1" applyBorder="1"/>
    <xf numFmtId="166" fontId="43" fillId="2" borderId="18" xfId="1" applyNumberFormat="1" applyFont="1" applyFill="1" applyBorder="1"/>
    <xf numFmtId="166" fontId="43" fillId="0" borderId="18" xfId="1" applyNumberFormat="1" applyFont="1" applyBorder="1"/>
    <xf numFmtId="166" fontId="22" fillId="0" borderId="18" xfId="0" applyNumberFormat="1" applyFont="1" applyBorder="1"/>
    <xf numFmtId="166" fontId="46" fillId="0" borderId="18" xfId="1" applyNumberFormat="1" applyFont="1" applyBorder="1"/>
    <xf numFmtId="166" fontId="13" fillId="0" borderId="18" xfId="0" applyNumberFormat="1" applyFont="1" applyBorder="1"/>
    <xf numFmtId="166" fontId="22" fillId="0" borderId="18" xfId="1" applyNumberFormat="1" applyFont="1" applyBorder="1" applyAlignment="1">
      <alignment horizontal="right"/>
    </xf>
    <xf numFmtId="3" fontId="13" fillId="0" borderId="18" xfId="0" applyNumberFormat="1" applyFont="1" applyBorder="1"/>
    <xf numFmtId="0" fontId="13" fillId="0" borderId="18" xfId="0" applyFont="1" applyBorder="1"/>
    <xf numFmtId="166" fontId="22" fillId="7" borderId="18" xfId="0" applyNumberFormat="1" applyFont="1" applyFill="1" applyBorder="1"/>
    <xf numFmtId="0" fontId="11" fillId="0" borderId="18" xfId="0" applyFont="1" applyBorder="1"/>
    <xf numFmtId="166" fontId="22" fillId="6" borderId="18" xfId="1" applyNumberFormat="1" applyFont="1" applyFill="1" applyBorder="1"/>
    <xf numFmtId="166" fontId="13" fillId="9" borderId="18" xfId="0" applyNumberFormat="1" applyFont="1" applyFill="1" applyBorder="1"/>
    <xf numFmtId="166" fontId="22" fillId="0" borderId="18" xfId="0" applyNumberFormat="1" applyFont="1" applyBorder="1" applyAlignment="1">
      <alignment horizontal="right"/>
    </xf>
    <xf numFmtId="3" fontId="11" fillId="0" borderId="0" xfId="0" applyNumberFormat="1" applyFont="1"/>
    <xf numFmtId="17" fontId="22" fillId="8" borderId="2" xfId="0" quotePrefix="1" applyNumberFormat="1" applyFont="1" applyFill="1" applyBorder="1" applyAlignment="1">
      <alignment horizontal="center"/>
    </xf>
    <xf numFmtId="0" fontId="22" fillId="8" borderId="2" xfId="0" applyFont="1" applyFill="1" applyBorder="1" applyAlignment="1">
      <alignment horizontal="left"/>
    </xf>
    <xf numFmtId="0" fontId="22" fillId="8" borderId="14" xfId="0" applyFont="1" applyFill="1" applyBorder="1" applyAlignment="1">
      <alignment horizontal="center"/>
    </xf>
    <xf numFmtId="0" fontId="22" fillId="8" borderId="14" xfId="0" applyFont="1" applyFill="1" applyBorder="1" applyAlignment="1">
      <alignment horizontal="left"/>
    </xf>
    <xf numFmtId="0" fontId="11" fillId="0" borderId="18" xfId="0" quotePrefix="1" applyFont="1" applyBorder="1" applyAlignment="1">
      <alignment horizontal="right"/>
    </xf>
    <xf numFmtId="0" fontId="11" fillId="6" borderId="18" xfId="0" applyFont="1" applyFill="1" applyBorder="1"/>
    <xf numFmtId="0" fontId="11" fillId="2" borderId="18" xfId="0" applyFont="1" applyFill="1" applyBorder="1"/>
    <xf numFmtId="0" fontId="22" fillId="0" borderId="18" xfId="0" applyFont="1" applyBorder="1"/>
    <xf numFmtId="0" fontId="41" fillId="0" borderId="18" xfId="0" applyFont="1" applyBorder="1"/>
    <xf numFmtId="0" fontId="11" fillId="0" borderId="21" xfId="0" applyFont="1" applyBorder="1"/>
    <xf numFmtId="0" fontId="22" fillId="0" borderId="20" xfId="0" applyFont="1" applyBorder="1"/>
    <xf numFmtId="0" fontId="11" fillId="0" borderId="22" xfId="0" applyFont="1" applyBorder="1"/>
    <xf numFmtId="0" fontId="13" fillId="0" borderId="18" xfId="0" applyFont="1" applyBorder="1" applyAlignment="1">
      <alignment horizontal="right"/>
    </xf>
    <xf numFmtId="0" fontId="42" fillId="0" borderId="18" xfId="0" applyFont="1" applyBorder="1"/>
    <xf numFmtId="0" fontId="22" fillId="0" borderId="18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44" fillId="0" borderId="18" xfId="0" applyFont="1" applyBorder="1"/>
    <xf numFmtId="0" fontId="22" fillId="7" borderId="18" xfId="0" applyFont="1" applyFill="1" applyBorder="1"/>
    <xf numFmtId="0" fontId="13" fillId="7" borderId="18" xfId="0" applyFont="1" applyFill="1" applyBorder="1"/>
    <xf numFmtId="0" fontId="22" fillId="6" borderId="18" xfId="0" applyFont="1" applyFill="1" applyBorder="1"/>
    <xf numFmtId="0" fontId="13" fillId="0" borderId="18" xfId="0" applyFont="1" applyBorder="1" applyAlignment="1">
      <alignment horizontal="center"/>
    </xf>
    <xf numFmtId="0" fontId="13" fillId="9" borderId="18" xfId="0" applyFont="1" applyFill="1" applyBorder="1"/>
    <xf numFmtId="0" fontId="5" fillId="0" borderId="3" xfId="0" applyFont="1" applyBorder="1" applyAlignment="1">
      <alignment horizontal="center"/>
    </xf>
    <xf numFmtId="166" fontId="10" fillId="0" borderId="33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0" fillId="0" borderId="0" xfId="0" applyNumberFormat="1" applyAlignment="1">
      <alignment horizontal="right"/>
    </xf>
    <xf numFmtId="166" fontId="0" fillId="0" borderId="24" xfId="0" applyNumberFormat="1" applyBorder="1"/>
    <xf numFmtId="166" fontId="0" fillId="0" borderId="29" xfId="0" applyNumberFormat="1" applyBorder="1"/>
    <xf numFmtId="166" fontId="0" fillId="0" borderId="32" xfId="0" applyNumberFormat="1" applyBorder="1"/>
    <xf numFmtId="166" fontId="22" fillId="2" borderId="18" xfId="1" applyNumberFormat="1" applyFont="1" applyFill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166" fontId="19" fillId="0" borderId="0" xfId="0" applyNumberFormat="1" applyFont="1" applyAlignment="1">
      <alignment horizontal="right"/>
    </xf>
    <xf numFmtId="166" fontId="11" fillId="0" borderId="6" xfId="0" applyNumberFormat="1" applyFont="1" applyBorder="1" applyAlignment="1">
      <alignment horizontal="right"/>
    </xf>
    <xf numFmtId="166" fontId="11" fillId="0" borderId="8" xfId="0" applyNumberFormat="1" applyFont="1" applyBorder="1" applyAlignment="1">
      <alignment horizontal="right"/>
    </xf>
    <xf numFmtId="166" fontId="11" fillId="0" borderId="7" xfId="0" applyNumberFormat="1" applyFont="1" applyBorder="1" applyAlignment="1">
      <alignment horizontal="right"/>
    </xf>
    <xf numFmtId="166" fontId="13" fillId="0" borderId="8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0" fontId="22" fillId="11" borderId="1" xfId="0" applyFont="1" applyFill="1" applyBorder="1"/>
    <xf numFmtId="0" fontId="9" fillId="11" borderId="1" xfId="0" applyFont="1" applyFill="1" applyBorder="1"/>
    <xf numFmtId="166" fontId="11" fillId="11" borderId="1" xfId="0" applyNumberFormat="1" applyFont="1" applyFill="1" applyBorder="1"/>
    <xf numFmtId="166" fontId="11" fillId="11" borderId="1" xfId="0" applyNumberFormat="1" applyFont="1" applyFill="1" applyBorder="1" applyAlignment="1">
      <alignment horizontal="right"/>
    </xf>
    <xf numFmtId="166" fontId="13" fillId="11" borderId="1" xfId="0" applyNumberFormat="1" applyFont="1" applyFill="1" applyBorder="1"/>
    <xf numFmtId="166" fontId="11" fillId="11" borderId="1" xfId="0" applyNumberFormat="1" applyFont="1" applyFill="1" applyBorder="1" applyAlignment="1">
      <alignment horizontal="center"/>
    </xf>
    <xf numFmtId="0" fontId="11" fillId="11" borderId="1" xfId="0" applyFont="1" applyFill="1" applyBorder="1"/>
    <xf numFmtId="0" fontId="23" fillId="11" borderId="1" xfId="0" applyFont="1" applyFill="1" applyBorder="1"/>
    <xf numFmtId="0" fontId="21" fillId="11" borderId="1" xfId="0" applyFont="1" applyFill="1" applyBorder="1"/>
    <xf numFmtId="0" fontId="13" fillId="0" borderId="1" xfId="0" applyFont="1" applyBorder="1" applyAlignment="1">
      <alignment horizontal="center"/>
    </xf>
    <xf numFmtId="166" fontId="49" fillId="0" borderId="0" xfId="0" applyNumberFormat="1" applyFont="1" applyAlignment="1">
      <alignment horizontal="center"/>
    </xf>
    <xf numFmtId="166" fontId="49" fillId="0" borderId="0" xfId="0" applyNumberFormat="1" applyFont="1" applyAlignment="1">
      <alignment horizontal="left"/>
    </xf>
    <xf numFmtId="165" fontId="0" fillId="12" borderId="0" xfId="0" applyNumberFormat="1" applyFill="1"/>
    <xf numFmtId="0" fontId="11" fillId="8" borderId="0" xfId="0" applyFont="1" applyFill="1"/>
    <xf numFmtId="0" fontId="22" fillId="8" borderId="0" xfId="0" applyFont="1" applyFill="1" applyAlignment="1">
      <alignment horizontal="left"/>
    </xf>
    <xf numFmtId="166" fontId="50" fillId="8" borderId="18" xfId="0" applyNumberFormat="1" applyFont="1" applyFill="1" applyBorder="1" applyAlignment="1">
      <alignment horizontal="center"/>
    </xf>
    <xf numFmtId="0" fontId="30" fillId="0" borderId="0" xfId="0" quotePrefix="1" applyFont="1" applyAlignment="1">
      <alignment horizontal="left"/>
    </xf>
    <xf numFmtId="0" fontId="21" fillId="2" borderId="1" xfId="0" applyFont="1" applyFill="1" applyBorder="1"/>
    <xf numFmtId="166" fontId="11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63EA-4A48-460A-B285-F063CFEBCE9D}">
  <dimension ref="A2:F55"/>
  <sheetViews>
    <sheetView topLeftCell="A5" workbookViewId="0">
      <selection activeCell="B19" sqref="B19"/>
    </sheetView>
  </sheetViews>
  <sheetFormatPr defaultRowHeight="15" x14ac:dyDescent="0.25"/>
  <cols>
    <col min="1" max="1" width="11.85546875" customWidth="1"/>
    <col min="2" max="2" width="90.28515625" customWidth="1"/>
    <col min="3" max="3" width="40.85546875" customWidth="1"/>
    <col min="5" max="5" width="10.7109375" customWidth="1"/>
  </cols>
  <sheetData>
    <row r="2" spans="1:6" x14ac:dyDescent="0.25">
      <c r="B2" t="s">
        <v>68</v>
      </c>
      <c r="D2" t="s">
        <v>385</v>
      </c>
      <c r="E2" t="s">
        <v>1660</v>
      </c>
      <c r="F2" t="s">
        <v>1661</v>
      </c>
    </row>
    <row r="3" spans="1:6" x14ac:dyDescent="0.25">
      <c r="B3" t="s">
        <v>1662</v>
      </c>
      <c r="D3" t="s">
        <v>385</v>
      </c>
      <c r="E3" t="s">
        <v>1660</v>
      </c>
      <c r="F3" t="s">
        <v>1661</v>
      </c>
    </row>
    <row r="4" spans="1:6" x14ac:dyDescent="0.25">
      <c r="B4" t="s">
        <v>1212</v>
      </c>
      <c r="D4" t="s">
        <v>385</v>
      </c>
      <c r="E4" t="s">
        <v>1660</v>
      </c>
      <c r="F4" t="s">
        <v>1661</v>
      </c>
    </row>
    <row r="7" spans="1:6" x14ac:dyDescent="0.25">
      <c r="B7" t="s">
        <v>1892</v>
      </c>
    </row>
    <row r="9" spans="1:6" x14ac:dyDescent="0.25">
      <c r="A9">
        <v>11000</v>
      </c>
      <c r="B9" t="s">
        <v>1665</v>
      </c>
    </row>
    <row r="10" spans="1:6" x14ac:dyDescent="0.25">
      <c r="A10">
        <v>12000</v>
      </c>
      <c r="B10" t="s">
        <v>1666</v>
      </c>
    </row>
    <row r="11" spans="1:6" x14ac:dyDescent="0.25">
      <c r="B11" t="s">
        <v>1667</v>
      </c>
      <c r="C11" t="s">
        <v>1669</v>
      </c>
    </row>
    <row r="12" spans="1:6" x14ac:dyDescent="0.25">
      <c r="B12" t="s">
        <v>1891</v>
      </c>
    </row>
    <row r="13" spans="1:6" ht="14.25" customHeight="1" x14ac:dyDescent="0.25">
      <c r="A13">
        <v>17000</v>
      </c>
      <c r="B13" t="s">
        <v>1668</v>
      </c>
      <c r="C13" t="s">
        <v>1670</v>
      </c>
    </row>
    <row r="14" spans="1:6" x14ac:dyDescent="0.25">
      <c r="B14" t="s">
        <v>1847</v>
      </c>
    </row>
    <row r="15" spans="1:6" x14ac:dyDescent="0.25">
      <c r="A15">
        <v>18000</v>
      </c>
      <c r="B15" t="s">
        <v>1849</v>
      </c>
    </row>
    <row r="16" spans="1:6" x14ac:dyDescent="0.25">
      <c r="B16" t="s">
        <v>1861</v>
      </c>
    </row>
    <row r="17" spans="1:6" x14ac:dyDescent="0.25">
      <c r="B17" t="s">
        <v>1859</v>
      </c>
    </row>
    <row r="18" spans="1:6" x14ac:dyDescent="0.25">
      <c r="B18" t="s">
        <v>1860</v>
      </c>
    </row>
    <row r="19" spans="1:6" x14ac:dyDescent="0.25">
      <c r="B19" t="s">
        <v>1865</v>
      </c>
      <c r="C19" t="s">
        <v>1868</v>
      </c>
    </row>
    <row r="20" spans="1:6" x14ac:dyDescent="0.25">
      <c r="B20" t="s">
        <v>1866</v>
      </c>
      <c r="C20" t="s">
        <v>1869</v>
      </c>
    </row>
    <row r="21" spans="1:6" x14ac:dyDescent="0.25">
      <c r="B21" t="s">
        <v>1867</v>
      </c>
    </row>
    <row r="24" spans="1:6" x14ac:dyDescent="0.25">
      <c r="B24" t="s">
        <v>1851</v>
      </c>
      <c r="C24" t="s">
        <v>1855</v>
      </c>
    </row>
    <row r="25" spans="1:6" x14ac:dyDescent="0.25">
      <c r="B25" t="s">
        <v>1852</v>
      </c>
      <c r="C25" t="s">
        <v>1854</v>
      </c>
    </row>
    <row r="26" spans="1:6" x14ac:dyDescent="0.25">
      <c r="B26" t="s">
        <v>1853</v>
      </c>
    </row>
    <row r="27" spans="1:6" x14ac:dyDescent="0.25">
      <c r="B27" t="s">
        <v>1858</v>
      </c>
    </row>
    <row r="28" spans="1:6" x14ac:dyDescent="0.25">
      <c r="B28" t="s">
        <v>1856</v>
      </c>
    </row>
    <row r="29" spans="1:6" x14ac:dyDescent="0.25">
      <c r="B29" t="s">
        <v>1857</v>
      </c>
    </row>
    <row r="30" spans="1:6" x14ac:dyDescent="0.25">
      <c r="D30" t="s">
        <v>1875</v>
      </c>
      <c r="F30" t="s">
        <v>1876</v>
      </c>
    </row>
    <row r="31" spans="1:6" x14ac:dyDescent="0.25">
      <c r="A31">
        <v>5004</v>
      </c>
      <c r="B31" t="s">
        <v>1873</v>
      </c>
      <c r="D31">
        <v>2017</v>
      </c>
    </row>
    <row r="32" spans="1:6" x14ac:dyDescent="0.25">
      <c r="A32" t="s">
        <v>847</v>
      </c>
      <c r="B32" t="s">
        <v>1870</v>
      </c>
      <c r="D32">
        <v>2018</v>
      </c>
      <c r="F32" s="387" t="e">
        <f t="shared" ref="F32:F34" si="0">E32/E31-1</f>
        <v>#DIV/0!</v>
      </c>
    </row>
    <row r="33" spans="1:6" x14ac:dyDescent="0.25">
      <c r="A33">
        <v>5367</v>
      </c>
      <c r="B33" t="s">
        <v>1877</v>
      </c>
      <c r="D33">
        <v>2019</v>
      </c>
      <c r="F33" s="387" t="e">
        <f t="shared" si="0"/>
        <v>#DIV/0!</v>
      </c>
    </row>
    <row r="34" spans="1:6" x14ac:dyDescent="0.25">
      <c r="A34">
        <v>5381</v>
      </c>
      <c r="B34" t="s">
        <v>1871</v>
      </c>
      <c r="D34">
        <v>2020</v>
      </c>
      <c r="F34" s="387" t="e">
        <f t="shared" si="0"/>
        <v>#DIV/0!</v>
      </c>
    </row>
    <row r="35" spans="1:6" x14ac:dyDescent="0.25">
      <c r="B35" t="s">
        <v>1872</v>
      </c>
      <c r="D35">
        <v>2021</v>
      </c>
      <c r="F35" s="387" t="e">
        <f>E35/E34-1</f>
        <v>#DIV/0!</v>
      </c>
    </row>
    <row r="36" spans="1:6" x14ac:dyDescent="0.25">
      <c r="B36" t="s">
        <v>1874</v>
      </c>
      <c r="F36" s="387" t="e">
        <f>SUM(F32:F35)</f>
        <v>#DIV/0!</v>
      </c>
    </row>
    <row r="37" spans="1:6" x14ac:dyDescent="0.25">
      <c r="A37">
        <v>5291</v>
      </c>
      <c r="B37" t="s">
        <v>1879</v>
      </c>
    </row>
    <row r="38" spans="1:6" x14ac:dyDescent="0.25">
      <c r="B38" t="s">
        <v>1880</v>
      </c>
    </row>
    <row r="39" spans="1:6" x14ac:dyDescent="0.25">
      <c r="A39">
        <v>5203</v>
      </c>
      <c r="B39" t="s">
        <v>1884</v>
      </c>
    </row>
    <row r="40" spans="1:6" x14ac:dyDescent="0.25">
      <c r="B40" t="s">
        <v>1885</v>
      </c>
    </row>
    <row r="41" spans="1:6" x14ac:dyDescent="0.25">
      <c r="B41" t="s">
        <v>1888</v>
      </c>
    </row>
    <row r="55" spans="1:2" x14ac:dyDescent="0.25">
      <c r="A55" t="s">
        <v>1889</v>
      </c>
      <c r="B55" t="s">
        <v>1890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CDF6-C0E9-4334-BEA2-34757A4ADDA3}">
  <dimension ref="A3:O74"/>
  <sheetViews>
    <sheetView zoomScaleNormal="100" workbookViewId="0">
      <pane xSplit="3" ySplit="5" topLeftCell="D62" activePane="bottomRight" state="frozen"/>
      <selection pane="topRight" activeCell="D1" sqref="D1"/>
      <selection pane="bottomLeft" activeCell="A6" sqref="A6"/>
      <selection pane="bottomRight" activeCell="I66" sqref="I66"/>
    </sheetView>
  </sheetViews>
  <sheetFormatPr defaultRowHeight="15" x14ac:dyDescent="0.25"/>
  <cols>
    <col min="1" max="1" width="5.140625" style="18" customWidth="1"/>
    <col min="2" max="2" width="10.140625" customWidth="1"/>
    <col min="3" max="3" width="37.7109375" customWidth="1"/>
    <col min="4" max="4" width="18.140625" style="74" customWidth="1"/>
    <col min="5" max="5" width="16" customWidth="1"/>
    <col min="6" max="6" width="15" customWidth="1"/>
    <col min="7" max="7" width="17.5703125" customWidth="1"/>
    <col min="8" max="8" width="16" style="22" customWidth="1"/>
    <col min="9" max="9" width="29.28515625" customWidth="1"/>
    <col min="10" max="13" width="10.5703125" bestFit="1" customWidth="1"/>
    <col min="14" max="15" width="9.5703125" bestFit="1" customWidth="1"/>
  </cols>
  <sheetData>
    <row r="3" spans="1:15" ht="23.25" x14ac:dyDescent="0.35">
      <c r="A3" s="24" t="s">
        <v>201</v>
      </c>
    </row>
    <row r="4" spans="1:15" s="23" customFormat="1" x14ac:dyDescent="0.25">
      <c r="D4" s="75">
        <v>2017</v>
      </c>
      <c r="E4" s="23" t="s">
        <v>208</v>
      </c>
      <c r="F4" s="23" t="s">
        <v>209</v>
      </c>
      <c r="G4" s="23" t="s">
        <v>203</v>
      </c>
      <c r="H4" s="30" t="s">
        <v>204</v>
      </c>
      <c r="I4" s="23" t="s">
        <v>1403</v>
      </c>
    </row>
    <row r="5" spans="1:15" s="23" customFormat="1" x14ac:dyDescent="0.25">
      <c r="A5" s="25"/>
      <c r="B5" s="25" t="s">
        <v>124</v>
      </c>
      <c r="C5" s="25" t="s">
        <v>125</v>
      </c>
      <c r="D5" s="76" t="s">
        <v>120</v>
      </c>
      <c r="E5" s="25" t="s">
        <v>205</v>
      </c>
      <c r="F5" s="25" t="s">
        <v>206</v>
      </c>
      <c r="G5" s="25" t="s">
        <v>16</v>
      </c>
      <c r="H5" s="31" t="s">
        <v>16</v>
      </c>
      <c r="I5" s="23" t="s">
        <v>120</v>
      </c>
    </row>
    <row r="6" spans="1:15" ht="15.75" x14ac:dyDescent="0.25">
      <c r="A6" s="6" t="s">
        <v>126</v>
      </c>
      <c r="B6" s="7" t="s">
        <v>127</v>
      </c>
      <c r="C6" s="8" t="s">
        <v>128</v>
      </c>
      <c r="D6" s="80"/>
      <c r="E6" s="9">
        <v>54274.07</v>
      </c>
      <c r="F6" s="9">
        <v>34562.61</v>
      </c>
      <c r="G6" s="9"/>
      <c r="H6" s="27"/>
    </row>
    <row r="7" spans="1:15" ht="15.75" x14ac:dyDescent="0.25">
      <c r="A7" s="6" t="s">
        <v>126</v>
      </c>
      <c r="B7" s="13" t="s">
        <v>186</v>
      </c>
      <c r="D7" s="81">
        <v>45875</v>
      </c>
      <c r="E7" s="14">
        <f>SUM(E6)</f>
        <v>54274.07</v>
      </c>
      <c r="F7" s="14">
        <f>SUM(F6)</f>
        <v>34562.61</v>
      </c>
      <c r="G7" s="29">
        <v>35000</v>
      </c>
      <c r="H7" s="27">
        <v>35000</v>
      </c>
      <c r="I7" t="s">
        <v>220</v>
      </c>
    </row>
    <row r="8" spans="1:15" ht="15.75" x14ac:dyDescent="0.25">
      <c r="A8" s="6"/>
      <c r="B8" s="7"/>
      <c r="C8" s="13"/>
      <c r="D8" s="82"/>
      <c r="E8" s="9"/>
      <c r="F8" s="9"/>
      <c r="G8" s="9"/>
      <c r="H8" s="27"/>
    </row>
    <row r="9" spans="1:15" ht="15.75" x14ac:dyDescent="0.25">
      <c r="A9" s="6" t="s">
        <v>129</v>
      </c>
      <c r="B9" s="7" t="s">
        <v>130</v>
      </c>
      <c r="C9" s="8" t="s">
        <v>131</v>
      </c>
      <c r="D9" s="80"/>
      <c r="E9" s="9">
        <v>1506.09</v>
      </c>
      <c r="F9" s="9">
        <v>1744.72</v>
      </c>
      <c r="G9" s="9"/>
      <c r="H9" s="27">
        <v>1550</v>
      </c>
      <c r="I9" s="9">
        <v>1550</v>
      </c>
      <c r="J9" t="s">
        <v>212</v>
      </c>
      <c r="K9" t="s">
        <v>211</v>
      </c>
      <c r="L9" t="s">
        <v>213</v>
      </c>
      <c r="M9" t="s">
        <v>214</v>
      </c>
    </row>
    <row r="10" spans="1:15" ht="15.75" x14ac:dyDescent="0.25">
      <c r="A10" s="6" t="s">
        <v>129</v>
      </c>
      <c r="B10" s="7" t="s">
        <v>132</v>
      </c>
      <c r="C10" s="8" t="s">
        <v>133</v>
      </c>
      <c r="D10" s="80"/>
      <c r="E10" s="9">
        <v>0</v>
      </c>
      <c r="F10" s="9">
        <v>402.96</v>
      </c>
      <c r="G10" s="9"/>
      <c r="H10" s="27">
        <v>2950</v>
      </c>
      <c r="I10" s="9">
        <v>3565</v>
      </c>
      <c r="J10" s="22">
        <v>546688.05000000005</v>
      </c>
      <c r="K10" s="22">
        <v>125226.92</v>
      </c>
      <c r="L10" s="22">
        <v>184726.11</v>
      </c>
      <c r="M10" s="22">
        <v>107092.21</v>
      </c>
    </row>
    <row r="11" spans="1:15" ht="15.75" x14ac:dyDescent="0.25">
      <c r="A11" s="6"/>
      <c r="B11" s="13" t="s">
        <v>187</v>
      </c>
      <c r="D11" s="81">
        <v>6745</v>
      </c>
      <c r="E11" s="14">
        <f>SUM(E9:E10)</f>
        <v>1506.09</v>
      </c>
      <c r="F11" s="14">
        <f>SUM(F9:F10)</f>
        <v>2147.6799999999998</v>
      </c>
      <c r="G11" s="14">
        <v>4500</v>
      </c>
      <c r="H11" s="27">
        <f>SUM(H9:H10)</f>
        <v>4500</v>
      </c>
      <c r="I11" s="140">
        <f>SUM(I9:I10)</f>
        <v>5115</v>
      </c>
      <c r="J11" s="32">
        <v>6.6699999999999995E-2</v>
      </c>
      <c r="K11" s="32">
        <v>2.5000000000000001E-2</v>
      </c>
      <c r="L11" s="33">
        <v>0.1</v>
      </c>
      <c r="M11" s="32">
        <v>2.5000000000000001E-2</v>
      </c>
    </row>
    <row r="12" spans="1:15" ht="15.75" x14ac:dyDescent="0.25">
      <c r="A12" s="6"/>
      <c r="B12" s="7"/>
      <c r="C12" s="8"/>
      <c r="D12" s="80"/>
      <c r="E12" s="9"/>
      <c r="F12" s="9"/>
      <c r="G12" s="9"/>
      <c r="H12" s="27"/>
      <c r="K12" s="32">
        <v>0.05</v>
      </c>
      <c r="M12" s="33">
        <v>0.05</v>
      </c>
    </row>
    <row r="13" spans="1:15" ht="15.75" x14ac:dyDescent="0.25">
      <c r="A13" s="6" t="s">
        <v>134</v>
      </c>
      <c r="B13" s="7" t="s">
        <v>135</v>
      </c>
      <c r="C13" s="8" t="s">
        <v>136</v>
      </c>
      <c r="D13" s="80"/>
      <c r="E13" s="9">
        <v>2262.2600000000002</v>
      </c>
      <c r="F13" s="9">
        <v>2004.31</v>
      </c>
      <c r="G13" s="9"/>
      <c r="H13" s="27">
        <v>1200</v>
      </c>
      <c r="I13" s="9">
        <v>1200</v>
      </c>
      <c r="J13" s="22">
        <f>J10*J11</f>
        <v>36464.092935000001</v>
      </c>
      <c r="K13" s="22">
        <f t="shared" ref="K13:M13" si="0">K10*K11</f>
        <v>3130.6730000000002</v>
      </c>
      <c r="L13" s="22">
        <f t="shared" si="0"/>
        <v>18472.611000000001</v>
      </c>
      <c r="M13" s="22">
        <f t="shared" si="0"/>
        <v>2677.3052500000003</v>
      </c>
      <c r="N13" s="22">
        <f>SUM(J13:M13)</f>
        <v>60744.682185000005</v>
      </c>
      <c r="O13" s="22">
        <f>N13-M13</f>
        <v>58067.376935000008</v>
      </c>
    </row>
    <row r="14" spans="1:15" ht="15" customHeight="1" x14ac:dyDescent="0.25">
      <c r="A14" s="6" t="s">
        <v>134</v>
      </c>
      <c r="B14" s="7" t="s">
        <v>137</v>
      </c>
      <c r="C14" s="8" t="s">
        <v>138</v>
      </c>
      <c r="D14" s="80"/>
      <c r="E14" s="9">
        <v>1540.19</v>
      </c>
      <c r="F14" s="9">
        <v>1137.4100000000001</v>
      </c>
      <c r="G14" s="9"/>
      <c r="H14" s="27">
        <v>4000</v>
      </c>
      <c r="I14" s="9">
        <v>5000</v>
      </c>
      <c r="J14" s="34">
        <f>J13/12</f>
        <v>3038.67441125</v>
      </c>
      <c r="K14" s="22">
        <f t="shared" ref="K14:M14" si="1">K13/12</f>
        <v>260.8894166666667</v>
      </c>
      <c r="L14" s="22">
        <f t="shared" si="1"/>
        <v>1539.3842500000001</v>
      </c>
      <c r="M14" s="22">
        <f t="shared" si="1"/>
        <v>223.10877083333335</v>
      </c>
    </row>
    <row r="15" spans="1:15" ht="15.75" x14ac:dyDescent="0.25">
      <c r="A15" s="6" t="s">
        <v>134</v>
      </c>
      <c r="B15" s="7" t="s">
        <v>139</v>
      </c>
      <c r="C15" s="8" t="s">
        <v>140</v>
      </c>
      <c r="D15" s="80"/>
      <c r="E15" s="9">
        <v>240.54</v>
      </c>
      <c r="F15" s="9">
        <v>568.30999999999995</v>
      </c>
      <c r="G15" s="9"/>
      <c r="H15" s="27">
        <v>0</v>
      </c>
      <c r="I15" s="9">
        <v>235</v>
      </c>
      <c r="J15" s="22"/>
      <c r="K15" s="22"/>
      <c r="L15" s="22"/>
      <c r="M15" s="22"/>
    </row>
    <row r="16" spans="1:15" ht="15.75" x14ac:dyDescent="0.25">
      <c r="A16" s="6" t="s">
        <v>134</v>
      </c>
      <c r="B16" s="7" t="s">
        <v>141</v>
      </c>
      <c r="C16" s="8" t="s">
        <v>142</v>
      </c>
      <c r="D16" s="80"/>
      <c r="E16" s="9">
        <v>3672.06</v>
      </c>
      <c r="F16" s="9">
        <v>470.8</v>
      </c>
      <c r="G16" s="9"/>
      <c r="H16" s="27">
        <v>1300</v>
      </c>
      <c r="I16" s="22">
        <v>1600</v>
      </c>
      <c r="J16" s="22"/>
      <c r="K16" s="22">
        <f>K10*K12</f>
        <v>6261.3460000000005</v>
      </c>
      <c r="L16" s="22"/>
      <c r="M16" s="22">
        <f>M10*M12</f>
        <v>5354.6105000000007</v>
      </c>
    </row>
    <row r="17" spans="1:13" s="16" customFormat="1" ht="15.75" x14ac:dyDescent="0.25">
      <c r="A17" s="11" t="s">
        <v>134</v>
      </c>
      <c r="B17" s="13" t="s">
        <v>190</v>
      </c>
      <c r="C17" s="13"/>
      <c r="D17" s="82">
        <v>2964</v>
      </c>
      <c r="E17" s="14">
        <f>SUM(E13:E16)</f>
        <v>7715.05</v>
      </c>
      <c r="F17" s="14">
        <f>SUM(F13:F16)</f>
        <v>4180.83</v>
      </c>
      <c r="G17" s="14">
        <v>6500</v>
      </c>
      <c r="H17" s="26">
        <f>SUM(H13:H16)</f>
        <v>6500</v>
      </c>
      <c r="I17" s="178">
        <f>SUM(I13:I16)</f>
        <v>8035</v>
      </c>
      <c r="J17" s="21"/>
      <c r="K17" s="21">
        <f>K16/12</f>
        <v>521.77883333333341</v>
      </c>
      <c r="L17" s="21"/>
      <c r="M17" s="21">
        <f>M16/12</f>
        <v>446.2175416666667</v>
      </c>
    </row>
    <row r="18" spans="1:13" ht="15.75" x14ac:dyDescent="0.25">
      <c r="A18" s="6"/>
      <c r="B18" s="7"/>
      <c r="C18" s="8"/>
      <c r="D18" s="80"/>
      <c r="E18" s="9"/>
      <c r="F18" s="9"/>
      <c r="G18" s="9"/>
      <c r="H18" s="27"/>
    </row>
    <row r="19" spans="1:13" ht="15.75" x14ac:dyDescent="0.25">
      <c r="A19" s="6" t="s">
        <v>143</v>
      </c>
      <c r="B19" s="7" t="s">
        <v>144</v>
      </c>
      <c r="C19" s="8" t="s">
        <v>145</v>
      </c>
      <c r="D19" s="80"/>
      <c r="E19" s="9">
        <v>8150</v>
      </c>
      <c r="F19" s="9">
        <v>9350</v>
      </c>
      <c r="G19" s="9"/>
      <c r="H19" s="27"/>
    </row>
    <row r="20" spans="1:13" s="16" customFormat="1" ht="15.75" x14ac:dyDescent="0.25">
      <c r="A20" s="11" t="s">
        <v>143</v>
      </c>
      <c r="B20" s="13" t="s">
        <v>145</v>
      </c>
      <c r="C20" s="13"/>
      <c r="D20" s="82">
        <v>8525</v>
      </c>
      <c r="E20" s="14">
        <f>SUM(E19)</f>
        <v>8150</v>
      </c>
      <c r="F20" s="14">
        <f>SUM(F19)</f>
        <v>9350</v>
      </c>
      <c r="G20" s="14">
        <v>6000</v>
      </c>
      <c r="H20" s="26">
        <v>6400</v>
      </c>
      <c r="I20" s="16" t="s">
        <v>210</v>
      </c>
      <c r="K20" s="16">
        <f>2880.22*12</f>
        <v>34562.639999999999</v>
      </c>
    </row>
    <row r="21" spans="1:13" ht="15.75" x14ac:dyDescent="0.25">
      <c r="A21" s="6"/>
      <c r="B21" s="7"/>
      <c r="C21" s="8"/>
      <c r="D21" s="80"/>
      <c r="E21" s="9"/>
      <c r="F21" s="9"/>
      <c r="G21" s="9"/>
      <c r="H21" s="27"/>
    </row>
    <row r="22" spans="1:13" ht="15.75" x14ac:dyDescent="0.25">
      <c r="A22" s="6"/>
      <c r="B22" s="7"/>
      <c r="C22" s="8"/>
      <c r="D22" s="80"/>
      <c r="E22" s="9"/>
      <c r="F22" s="9"/>
      <c r="G22" s="9"/>
      <c r="H22" s="27"/>
    </row>
    <row r="23" spans="1:13" ht="15.75" x14ac:dyDescent="0.25">
      <c r="A23" s="6" t="s">
        <v>146</v>
      </c>
      <c r="B23" s="7" t="s">
        <v>147</v>
      </c>
      <c r="C23" s="8" t="s">
        <v>148</v>
      </c>
      <c r="D23" s="80"/>
      <c r="E23" s="9">
        <v>349.94</v>
      </c>
      <c r="F23" s="9">
        <v>885.74</v>
      </c>
      <c r="G23" s="9"/>
      <c r="H23" s="27">
        <v>2870</v>
      </c>
      <c r="I23" s="9">
        <v>2730</v>
      </c>
    </row>
    <row r="24" spans="1:13" ht="15.75" x14ac:dyDescent="0.25">
      <c r="A24" s="6" t="s">
        <v>146</v>
      </c>
      <c r="B24" s="7" t="s">
        <v>149</v>
      </c>
      <c r="C24" s="8" t="s">
        <v>150</v>
      </c>
      <c r="D24" s="80"/>
      <c r="E24" s="9">
        <v>355.78</v>
      </c>
      <c r="F24" s="9">
        <v>233.74</v>
      </c>
      <c r="G24" s="9"/>
      <c r="H24" s="27">
        <v>4791</v>
      </c>
      <c r="I24" s="9">
        <v>195</v>
      </c>
    </row>
    <row r="25" spans="1:13" ht="15.75" x14ac:dyDescent="0.25">
      <c r="A25" s="6" t="s">
        <v>146</v>
      </c>
      <c r="B25" s="7" t="s">
        <v>151</v>
      </c>
      <c r="C25" s="8" t="s">
        <v>152</v>
      </c>
      <c r="D25" s="80"/>
      <c r="E25" s="9">
        <v>9050.57</v>
      </c>
      <c r="F25" s="9">
        <v>5939.81</v>
      </c>
      <c r="G25" s="9"/>
      <c r="H25" s="27">
        <v>102</v>
      </c>
      <c r="I25" s="9">
        <v>5520</v>
      </c>
    </row>
    <row r="26" spans="1:13" s="16" customFormat="1" ht="15.75" x14ac:dyDescent="0.25">
      <c r="A26" s="11" t="s">
        <v>146</v>
      </c>
      <c r="B26" s="12"/>
      <c r="C26" s="13" t="s">
        <v>148</v>
      </c>
      <c r="D26" s="82">
        <v>8234</v>
      </c>
      <c r="E26" s="14">
        <f>SUM(E23:E25)</f>
        <v>9756.2899999999991</v>
      </c>
      <c r="F26" s="14">
        <f>SUM(F23:F25)</f>
        <v>7059.2900000000009</v>
      </c>
      <c r="G26" s="14">
        <v>8000</v>
      </c>
      <c r="H26" s="26">
        <f>SUM(H23:H25)</f>
        <v>7763</v>
      </c>
      <c r="I26" s="178">
        <f>SUM(I23:I25)</f>
        <v>8445</v>
      </c>
    </row>
    <row r="27" spans="1:13" ht="15.75" x14ac:dyDescent="0.25">
      <c r="A27" s="6"/>
      <c r="B27" s="7"/>
      <c r="C27" s="8"/>
      <c r="D27" s="80"/>
      <c r="E27" s="9"/>
      <c r="F27" s="9"/>
      <c r="G27" s="9"/>
      <c r="H27" s="27"/>
    </row>
    <row r="28" spans="1:13" ht="15.75" x14ac:dyDescent="0.25">
      <c r="A28" s="6" t="s">
        <v>153</v>
      </c>
      <c r="B28" s="7" t="s">
        <v>154</v>
      </c>
      <c r="C28" s="8" t="s">
        <v>155</v>
      </c>
      <c r="D28" s="80"/>
      <c r="E28" s="9">
        <v>10171.91</v>
      </c>
      <c r="F28" s="9">
        <v>7730.02</v>
      </c>
      <c r="G28" s="9"/>
      <c r="H28" s="27"/>
    </row>
    <row r="29" spans="1:13" s="16" customFormat="1" ht="15.75" x14ac:dyDescent="0.25">
      <c r="A29" s="11" t="s">
        <v>153</v>
      </c>
      <c r="B29" s="12"/>
      <c r="C29" s="13" t="s">
        <v>155</v>
      </c>
      <c r="D29" s="82">
        <v>7426</v>
      </c>
      <c r="E29" s="14">
        <f>SUM(E28)</f>
        <v>10171.91</v>
      </c>
      <c r="F29" s="14">
        <f>SUM(F28)</f>
        <v>7730.02</v>
      </c>
      <c r="G29" s="14">
        <v>7500</v>
      </c>
      <c r="H29" s="26">
        <v>4000</v>
      </c>
      <c r="I29" s="16">
        <v>4700</v>
      </c>
    </row>
    <row r="30" spans="1:13" ht="15.75" x14ac:dyDescent="0.25">
      <c r="A30" s="6"/>
      <c r="B30" s="7"/>
      <c r="C30" s="8"/>
      <c r="D30" s="80"/>
      <c r="E30" s="9"/>
      <c r="F30" s="9"/>
      <c r="G30" s="9"/>
      <c r="H30" s="27"/>
    </row>
    <row r="31" spans="1:13" ht="15.75" x14ac:dyDescent="0.25">
      <c r="A31" s="6" t="s">
        <v>156</v>
      </c>
      <c r="B31" s="7" t="s">
        <v>157</v>
      </c>
      <c r="C31" s="8" t="s">
        <v>158</v>
      </c>
      <c r="D31" s="80">
        <v>-441</v>
      </c>
      <c r="E31" s="9">
        <v>0</v>
      </c>
      <c r="F31" s="9">
        <v>120</v>
      </c>
      <c r="G31" s="9"/>
      <c r="H31" s="27">
        <v>200</v>
      </c>
      <c r="I31" s="9">
        <v>120</v>
      </c>
    </row>
    <row r="32" spans="1:13" ht="15.75" x14ac:dyDescent="0.25">
      <c r="A32" s="6" t="s">
        <v>156</v>
      </c>
      <c r="B32" s="7" t="s">
        <v>159</v>
      </c>
      <c r="C32" s="8" t="s">
        <v>160</v>
      </c>
      <c r="D32" s="80">
        <v>57</v>
      </c>
      <c r="E32" s="9">
        <v>90</v>
      </c>
      <c r="F32" s="9">
        <v>60</v>
      </c>
      <c r="G32" s="9"/>
      <c r="H32" s="27">
        <v>100</v>
      </c>
      <c r="I32" s="9">
        <v>83</v>
      </c>
    </row>
    <row r="33" spans="1:11" ht="15.75" x14ac:dyDescent="0.25">
      <c r="A33" s="6" t="s">
        <v>156</v>
      </c>
      <c r="B33" s="7" t="s">
        <v>161</v>
      </c>
      <c r="C33" s="8" t="s">
        <v>162</v>
      </c>
      <c r="D33" s="80">
        <v>73</v>
      </c>
      <c r="E33" s="9">
        <v>41.23</v>
      </c>
      <c r="F33" s="9">
        <v>0</v>
      </c>
      <c r="G33" s="9"/>
      <c r="H33" s="27">
        <v>200</v>
      </c>
      <c r="I33" s="9">
        <v>54</v>
      </c>
    </row>
    <row r="34" spans="1:11" s="16" customFormat="1" ht="15.75" x14ac:dyDescent="0.25">
      <c r="A34" s="11" t="s">
        <v>156</v>
      </c>
      <c r="B34" s="12"/>
      <c r="C34" s="13" t="s">
        <v>162</v>
      </c>
      <c r="D34" s="82"/>
      <c r="E34" s="14">
        <f>SUM(E31:E33)</f>
        <v>131.22999999999999</v>
      </c>
      <c r="F34" s="14">
        <f>SUM(F31:F33)</f>
        <v>180</v>
      </c>
      <c r="G34" s="14">
        <v>250</v>
      </c>
      <c r="H34" s="26">
        <f>SUM(H31:H33)</f>
        <v>500</v>
      </c>
      <c r="I34" s="178">
        <f>SUM(I31:I33)</f>
        <v>257</v>
      </c>
    </row>
    <row r="35" spans="1:11" ht="15.75" x14ac:dyDescent="0.25">
      <c r="A35" s="6"/>
      <c r="B35" s="7"/>
      <c r="C35" s="8"/>
      <c r="D35" s="80"/>
      <c r="E35" s="9"/>
      <c r="F35" s="9"/>
      <c r="G35" s="9"/>
      <c r="H35" s="27"/>
    </row>
    <row r="36" spans="1:11" ht="15.75" x14ac:dyDescent="0.25">
      <c r="A36" s="6" t="s">
        <v>163</v>
      </c>
      <c r="B36" s="7" t="s">
        <v>164</v>
      </c>
      <c r="C36" s="8" t="s">
        <v>165</v>
      </c>
      <c r="D36" s="80"/>
      <c r="E36" s="9">
        <v>3539.1</v>
      </c>
      <c r="F36" s="9">
        <v>2303.66</v>
      </c>
      <c r="G36" s="9"/>
      <c r="H36" s="27">
        <v>500</v>
      </c>
      <c r="I36" s="9">
        <v>200</v>
      </c>
    </row>
    <row r="37" spans="1:11" ht="15.75" x14ac:dyDescent="0.25">
      <c r="A37" s="6" t="s">
        <v>163</v>
      </c>
      <c r="B37" s="7" t="s">
        <v>166</v>
      </c>
      <c r="C37" s="8" t="s">
        <v>167</v>
      </c>
      <c r="D37" s="80"/>
      <c r="E37" s="9">
        <v>0</v>
      </c>
      <c r="F37" s="9">
        <v>562.65</v>
      </c>
      <c r="G37" s="9"/>
      <c r="H37" s="27">
        <v>2500</v>
      </c>
      <c r="J37" t="s">
        <v>1367</v>
      </c>
    </row>
    <row r="38" spans="1:11" s="16" customFormat="1" ht="15.75" x14ac:dyDescent="0.25">
      <c r="A38" s="11" t="s">
        <v>163</v>
      </c>
      <c r="B38" s="12"/>
      <c r="C38" s="13" t="s">
        <v>73</v>
      </c>
      <c r="D38" s="82">
        <v>1668</v>
      </c>
      <c r="E38" s="14">
        <f>SUM(E36:E37)</f>
        <v>3539.1</v>
      </c>
      <c r="F38" s="14">
        <f>SUM(F36:F37)</f>
        <v>2866.31</v>
      </c>
      <c r="G38" s="14">
        <v>4500</v>
      </c>
      <c r="H38" s="26">
        <f>SUM(H36:H37)</f>
        <v>3000</v>
      </c>
    </row>
    <row r="39" spans="1:11" ht="15.75" x14ac:dyDescent="0.25">
      <c r="A39" s="6"/>
      <c r="B39" s="7"/>
      <c r="C39" s="8"/>
      <c r="D39" s="80"/>
      <c r="E39" s="9"/>
      <c r="F39" s="9"/>
      <c r="G39" s="9"/>
      <c r="H39" s="27"/>
    </row>
    <row r="40" spans="1:11" ht="15.75" x14ac:dyDescent="0.25">
      <c r="A40" s="6" t="s">
        <v>168</v>
      </c>
      <c r="B40" s="7" t="s">
        <v>169</v>
      </c>
      <c r="C40" s="8" t="s">
        <v>170</v>
      </c>
      <c r="D40" s="80"/>
      <c r="E40" s="9">
        <v>455.39</v>
      </c>
      <c r="F40" s="9">
        <v>538.37</v>
      </c>
      <c r="G40" s="9"/>
      <c r="H40" s="27">
        <v>1100</v>
      </c>
      <c r="I40">
        <v>1000</v>
      </c>
      <c r="J40">
        <f>85*12</f>
        <v>1020</v>
      </c>
      <c r="K40" t="s">
        <v>1368</v>
      </c>
    </row>
    <row r="41" spans="1:11" ht="15.75" x14ac:dyDescent="0.25">
      <c r="A41" s="6" t="s">
        <v>168</v>
      </c>
      <c r="B41" s="7" t="s">
        <v>171</v>
      </c>
      <c r="C41" s="8" t="s">
        <v>172</v>
      </c>
      <c r="D41" s="80"/>
      <c r="E41" s="9">
        <v>3614.52</v>
      </c>
      <c r="F41" s="9">
        <v>2642.58</v>
      </c>
      <c r="G41" s="9"/>
      <c r="H41" s="27">
        <v>3000</v>
      </c>
      <c r="I41" s="9">
        <v>2643</v>
      </c>
      <c r="J41">
        <f>240*12</f>
        <v>2880</v>
      </c>
    </row>
    <row r="42" spans="1:11" ht="15.75" x14ac:dyDescent="0.25">
      <c r="A42" s="6" t="s">
        <v>168</v>
      </c>
      <c r="B42" s="7" t="s">
        <v>173</v>
      </c>
      <c r="C42" s="8" t="s">
        <v>174</v>
      </c>
      <c r="D42" s="80"/>
      <c r="E42" s="9">
        <v>396.95</v>
      </c>
      <c r="F42" s="10">
        <v>78.84</v>
      </c>
      <c r="G42" s="10"/>
      <c r="H42" s="27">
        <v>2500</v>
      </c>
      <c r="I42">
        <v>1100</v>
      </c>
      <c r="K42" t="s">
        <v>1369</v>
      </c>
    </row>
    <row r="43" spans="1:11" ht="15.75" x14ac:dyDescent="0.25">
      <c r="A43" s="6" t="s">
        <v>168</v>
      </c>
      <c r="B43" s="7" t="s">
        <v>175</v>
      </c>
      <c r="C43" s="8" t="s">
        <v>176</v>
      </c>
      <c r="D43" s="80"/>
      <c r="E43" s="9">
        <v>3127.17</v>
      </c>
      <c r="F43" s="9">
        <v>1452</v>
      </c>
      <c r="G43" s="9"/>
      <c r="H43" s="27">
        <v>1700</v>
      </c>
      <c r="I43" s="9">
        <v>1673</v>
      </c>
    </row>
    <row r="44" spans="1:11" s="16" customFormat="1" ht="15.75" x14ac:dyDescent="0.25">
      <c r="A44" s="11" t="s">
        <v>168</v>
      </c>
      <c r="B44" s="12"/>
      <c r="C44" s="13" t="s">
        <v>72</v>
      </c>
      <c r="D44" s="82">
        <v>5252</v>
      </c>
      <c r="E44" s="14">
        <f>SUM(E40:E43)</f>
        <v>7594.03</v>
      </c>
      <c r="F44" s="14">
        <f>SUM(F40:F43)</f>
        <v>4711.79</v>
      </c>
      <c r="G44" s="14">
        <v>7200</v>
      </c>
      <c r="H44" s="14">
        <f>SUM(H40:H43)</f>
        <v>8300</v>
      </c>
      <c r="I44" s="16">
        <f>SUM(I40:I43)</f>
        <v>6416</v>
      </c>
    </row>
    <row r="45" spans="1:11" ht="15.75" x14ac:dyDescent="0.25">
      <c r="A45" s="11"/>
      <c r="B45" s="12"/>
      <c r="C45" s="13"/>
      <c r="D45" s="82"/>
      <c r="E45" s="14"/>
      <c r="F45" s="14"/>
      <c r="G45" s="14"/>
      <c r="H45" s="26"/>
    </row>
    <row r="46" spans="1:11" ht="15.75" x14ac:dyDescent="0.25">
      <c r="A46" s="6" t="s">
        <v>177</v>
      </c>
      <c r="B46" s="7" t="s">
        <v>178</v>
      </c>
      <c r="C46" s="8" t="s">
        <v>179</v>
      </c>
      <c r="D46" s="80"/>
      <c r="E46" s="9">
        <v>38000</v>
      </c>
      <c r="F46" s="9">
        <v>38000</v>
      </c>
      <c r="G46" s="9"/>
      <c r="H46" s="27"/>
    </row>
    <row r="47" spans="1:11" s="16" customFormat="1" ht="15.75" x14ac:dyDescent="0.25">
      <c r="A47" s="11" t="s">
        <v>177</v>
      </c>
      <c r="B47" s="12"/>
      <c r="C47" s="13" t="s">
        <v>191</v>
      </c>
      <c r="D47" s="82">
        <v>38000</v>
      </c>
      <c r="E47" s="14">
        <f>SUM(E46)</f>
        <v>38000</v>
      </c>
      <c r="F47" s="14">
        <f>SUM(F46)</f>
        <v>38000</v>
      </c>
      <c r="G47" s="14">
        <v>38000</v>
      </c>
      <c r="H47" s="26">
        <v>38000</v>
      </c>
      <c r="I47" s="16" t="s">
        <v>1370</v>
      </c>
    </row>
    <row r="48" spans="1:11" ht="15.75" x14ac:dyDescent="0.25">
      <c r="A48" s="6"/>
      <c r="B48" s="7"/>
      <c r="C48" s="8"/>
      <c r="D48" s="80"/>
      <c r="E48" s="9"/>
      <c r="F48" s="9"/>
      <c r="G48" s="9"/>
      <c r="H48" s="27"/>
    </row>
    <row r="49" spans="1:9" s="16" customFormat="1" ht="15.75" x14ac:dyDescent="0.25">
      <c r="A49" s="11" t="s">
        <v>180</v>
      </c>
      <c r="B49" s="12" t="s">
        <v>181</v>
      </c>
      <c r="C49" s="13" t="s">
        <v>182</v>
      </c>
      <c r="D49" s="82"/>
      <c r="E49" s="14">
        <v>162.80000000000001</v>
      </c>
      <c r="F49" s="14">
        <v>3628.13</v>
      </c>
      <c r="G49" s="14"/>
      <c r="H49" s="26">
        <v>3610</v>
      </c>
    </row>
    <row r="50" spans="1:9" ht="15.75" x14ac:dyDescent="0.25">
      <c r="A50" s="6"/>
      <c r="B50" s="7"/>
      <c r="C50" s="8"/>
      <c r="D50" s="80"/>
      <c r="E50" s="9"/>
      <c r="F50" s="9"/>
      <c r="G50" s="9"/>
      <c r="H50" s="27"/>
    </row>
    <row r="51" spans="1:9" s="16" customFormat="1" ht="15.75" x14ac:dyDescent="0.25">
      <c r="A51" s="11" t="s">
        <v>1334</v>
      </c>
      <c r="B51" s="12" t="s">
        <v>183</v>
      </c>
      <c r="C51" s="13" t="s">
        <v>184</v>
      </c>
      <c r="D51" s="82">
        <v>11950</v>
      </c>
      <c r="E51" s="14">
        <v>18702.59</v>
      </c>
      <c r="F51" s="14">
        <v>12109.23</v>
      </c>
      <c r="G51" s="14">
        <v>13500</v>
      </c>
      <c r="H51" s="21">
        <v>13500</v>
      </c>
      <c r="I51" s="26" t="s">
        <v>185</v>
      </c>
    </row>
    <row r="52" spans="1:9" s="16" customFormat="1" ht="15.75" x14ac:dyDescent="0.25">
      <c r="A52" s="19"/>
      <c r="D52" s="83"/>
      <c r="E52" s="20"/>
      <c r="F52" s="20"/>
      <c r="G52" s="20"/>
      <c r="H52" s="21"/>
    </row>
    <row r="53" spans="1:9" x14ac:dyDescent="0.25">
      <c r="D53" s="81"/>
    </row>
    <row r="54" spans="1:9" s="16" customFormat="1" x14ac:dyDescent="0.25">
      <c r="A54" s="19"/>
      <c r="B54" s="16" t="s">
        <v>195</v>
      </c>
      <c r="D54" s="83"/>
      <c r="E54" s="21">
        <f>E7+E11+E17+E20+E26+E29+E34+E38+E44+E47+E51+E49</f>
        <v>159703.15999999997</v>
      </c>
      <c r="F54" s="21">
        <f t="shared" ref="F54:H54" si="2">F7+F11+F17+F20+F26+F29+F34+F38+F44+F47+F51+F49</f>
        <v>126525.89</v>
      </c>
      <c r="G54" s="21">
        <f t="shared" si="2"/>
        <v>130950</v>
      </c>
      <c r="H54" s="21">
        <f t="shared" si="2"/>
        <v>131073</v>
      </c>
    </row>
    <row r="55" spans="1:9" x14ac:dyDescent="0.25">
      <c r="D55" s="81"/>
      <c r="E55" t="s">
        <v>196</v>
      </c>
    </row>
    <row r="56" spans="1:9" x14ac:dyDescent="0.25">
      <c r="D56" s="81"/>
    </row>
    <row r="57" spans="1:9" x14ac:dyDescent="0.25">
      <c r="A57" s="18" t="s">
        <v>188</v>
      </c>
      <c r="B57" s="16" t="s">
        <v>189</v>
      </c>
      <c r="D57" s="81">
        <v>20000</v>
      </c>
      <c r="E57" s="21">
        <v>20000</v>
      </c>
      <c r="F57" s="21">
        <v>20000</v>
      </c>
      <c r="G57" s="21">
        <v>20000</v>
      </c>
      <c r="H57" s="22">
        <v>20000</v>
      </c>
    </row>
    <row r="58" spans="1:9" x14ac:dyDescent="0.25">
      <c r="A58" s="18" t="s">
        <v>193</v>
      </c>
      <c r="B58" t="s">
        <v>194</v>
      </c>
      <c r="D58" s="81"/>
      <c r="E58" s="22">
        <v>4839</v>
      </c>
      <c r="F58" s="22">
        <v>0</v>
      </c>
      <c r="G58" s="22">
        <v>0</v>
      </c>
      <c r="H58" s="22">
        <v>50000</v>
      </c>
      <c r="I58" t="s">
        <v>215</v>
      </c>
    </row>
    <row r="59" spans="1:9" x14ac:dyDescent="0.25">
      <c r="D59" s="81"/>
      <c r="E59" s="22"/>
      <c r="F59" s="22"/>
      <c r="G59" s="22" t="s">
        <v>221</v>
      </c>
      <c r="H59" s="22" t="s">
        <v>215</v>
      </c>
    </row>
    <row r="60" spans="1:9" x14ac:dyDescent="0.25">
      <c r="D60" s="81"/>
      <c r="E60" s="22"/>
      <c r="F60" s="22"/>
      <c r="G60" s="22"/>
    </row>
    <row r="61" spans="1:9" s="16" customFormat="1" x14ac:dyDescent="0.25">
      <c r="A61" s="19"/>
      <c r="B61" s="16" t="s">
        <v>197</v>
      </c>
      <c r="D61" s="83"/>
      <c r="E61" s="21">
        <f>E54+E57+E58</f>
        <v>184542.15999999997</v>
      </c>
      <c r="F61" s="21">
        <f>F54+F57+F58</f>
        <v>146525.89000000001</v>
      </c>
      <c r="G61" s="21">
        <f>G54+G57+G58</f>
        <v>150950</v>
      </c>
      <c r="H61" s="21">
        <f>H54+H57+H58</f>
        <v>201073</v>
      </c>
    </row>
    <row r="62" spans="1:9" x14ac:dyDescent="0.25">
      <c r="D62" s="81"/>
      <c r="E62" s="22"/>
      <c r="F62" s="22"/>
      <c r="G62" s="22"/>
    </row>
    <row r="63" spans="1:9" x14ac:dyDescent="0.25">
      <c r="B63" t="s">
        <v>216</v>
      </c>
      <c r="D63" s="81">
        <v>21600</v>
      </c>
      <c r="E63" s="22">
        <v>21600</v>
      </c>
      <c r="F63" s="22">
        <f>1800*12</f>
        <v>21600</v>
      </c>
      <c r="G63" s="22">
        <v>21600</v>
      </c>
      <c r="H63" s="22">
        <f>1800*12</f>
        <v>21600</v>
      </c>
    </row>
    <row r="64" spans="1:9" ht="15.75" x14ac:dyDescent="0.25">
      <c r="B64" t="s">
        <v>198</v>
      </c>
      <c r="D64" s="81"/>
      <c r="E64" s="28">
        <v>0</v>
      </c>
      <c r="F64" s="22">
        <v>0</v>
      </c>
      <c r="G64" s="22">
        <v>0</v>
      </c>
      <c r="H64" s="22">
        <v>0</v>
      </c>
    </row>
    <row r="65" spans="1:8" ht="15.75" x14ac:dyDescent="0.25">
      <c r="C65" s="28" t="s">
        <v>199</v>
      </c>
      <c r="D65" s="78"/>
      <c r="E65" s="73">
        <f>E61-E63-E64</f>
        <v>162942.15999999997</v>
      </c>
      <c r="F65" s="73">
        <f t="shared" ref="F65:H65" si="3">F61-F63-F64</f>
        <v>124925.89000000001</v>
      </c>
      <c r="G65" s="73">
        <f t="shared" si="3"/>
        <v>129350</v>
      </c>
      <c r="H65" s="73">
        <f t="shared" si="3"/>
        <v>179473</v>
      </c>
    </row>
    <row r="66" spans="1:8" x14ac:dyDescent="0.25">
      <c r="C66" t="s">
        <v>217</v>
      </c>
      <c r="D66" s="81"/>
      <c r="E66" s="22">
        <f>-E7</f>
        <v>-54274.07</v>
      </c>
      <c r="F66" s="22">
        <f t="shared" ref="F66:H66" si="4">-F7</f>
        <v>-34562.61</v>
      </c>
      <c r="G66" s="22">
        <f t="shared" si="4"/>
        <v>-35000</v>
      </c>
      <c r="H66" s="22">
        <f t="shared" si="4"/>
        <v>-35000</v>
      </c>
    </row>
    <row r="67" spans="1:8" s="15" customFormat="1" ht="21" customHeight="1" x14ac:dyDescent="0.25">
      <c r="A67" s="11"/>
      <c r="B67"/>
      <c r="C67" s="15" t="s">
        <v>218</v>
      </c>
      <c r="D67" s="84"/>
      <c r="E67" s="35">
        <f>E65+E66</f>
        <v>108668.08999999997</v>
      </c>
      <c r="F67" s="35">
        <f t="shared" ref="F67:H67" si="5">F65+F66</f>
        <v>90363.280000000013</v>
      </c>
      <c r="G67" s="35">
        <f t="shared" si="5"/>
        <v>94350</v>
      </c>
      <c r="H67" s="35">
        <f t="shared" si="5"/>
        <v>144473</v>
      </c>
    </row>
    <row r="68" spans="1:8" ht="15.75" x14ac:dyDescent="0.25">
      <c r="C68" s="15" t="s">
        <v>200</v>
      </c>
      <c r="D68" s="84"/>
      <c r="E68" s="33">
        <v>0.35</v>
      </c>
      <c r="F68" s="33">
        <v>0.35</v>
      </c>
      <c r="G68" s="33">
        <v>0.35</v>
      </c>
      <c r="H68" s="33">
        <v>0.35</v>
      </c>
    </row>
    <row r="69" spans="1:8" ht="15.75" x14ac:dyDescent="0.25">
      <c r="C69" s="15" t="s">
        <v>219</v>
      </c>
      <c r="D69" s="84"/>
      <c r="E69" s="36">
        <f>E67*E68</f>
        <v>38033.831499999986</v>
      </c>
      <c r="F69" s="36">
        <f t="shared" ref="F69:H69" si="6">F67*F68</f>
        <v>31627.148000000001</v>
      </c>
      <c r="G69" s="36">
        <f t="shared" si="6"/>
        <v>33022.5</v>
      </c>
      <c r="H69" s="36">
        <f t="shared" si="6"/>
        <v>50565.549999999996</v>
      </c>
    </row>
    <row r="70" spans="1:8" x14ac:dyDescent="0.25">
      <c r="D70" s="81"/>
    </row>
    <row r="71" spans="1:8" x14ac:dyDescent="0.25">
      <c r="D71" s="81"/>
      <c r="F71" s="19" t="s">
        <v>202</v>
      </c>
      <c r="G71" s="19" t="s">
        <v>203</v>
      </c>
      <c r="H71" s="37" t="s">
        <v>204</v>
      </c>
    </row>
    <row r="72" spans="1:8" x14ac:dyDescent="0.25">
      <c r="D72" s="81"/>
      <c r="E72" s="22">
        <f>E65*0.35</f>
        <v>57029.755999999987</v>
      </c>
      <c r="F72" s="22">
        <f t="shared" ref="F72:H72" si="7">F65*0.35</f>
        <v>43724.061500000003</v>
      </c>
      <c r="G72" s="22">
        <f t="shared" si="7"/>
        <v>45272.5</v>
      </c>
      <c r="H72" s="22">
        <f t="shared" si="7"/>
        <v>62815.549999999996</v>
      </c>
    </row>
    <row r="73" spans="1:8" x14ac:dyDescent="0.25">
      <c r="D73" s="81"/>
    </row>
    <row r="74" spans="1:8" x14ac:dyDescent="0.25">
      <c r="D74" s="81"/>
    </row>
  </sheetData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&amp;L&amp;Z&amp;F&amp;F</oddFooter>
  </headerFooter>
  <rowBreaks count="1" manualBreakCount="1">
    <brk id="39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406C-1452-4EFE-86A6-390870AF79A9}">
  <dimension ref="A3:F44"/>
  <sheetViews>
    <sheetView topLeftCell="A18" zoomScaleNormal="100" workbookViewId="0">
      <selection activeCell="H14" sqref="H14"/>
    </sheetView>
  </sheetViews>
  <sheetFormatPr defaultRowHeight="15" x14ac:dyDescent="0.25"/>
  <cols>
    <col min="1" max="1" width="5.140625" style="18" customWidth="1"/>
    <col min="2" max="2" width="10.140625" customWidth="1"/>
    <col min="3" max="3" width="31.5703125" customWidth="1"/>
    <col min="4" max="4" width="23" style="74" customWidth="1"/>
    <col min="5" max="5" width="16" customWidth="1"/>
    <col min="6" max="6" width="15" customWidth="1"/>
    <col min="7" max="7" width="12" customWidth="1"/>
  </cols>
  <sheetData>
    <row r="3" spans="1:6" ht="23.25" x14ac:dyDescent="0.35">
      <c r="A3" s="24" t="s">
        <v>201</v>
      </c>
      <c r="E3" s="85" t="s">
        <v>324</v>
      </c>
      <c r="F3" s="74"/>
    </row>
    <row r="4" spans="1:6" s="23" customFormat="1" ht="15.75" x14ac:dyDescent="0.25">
      <c r="A4" s="96" t="s">
        <v>333</v>
      </c>
      <c r="D4" s="89">
        <v>2017</v>
      </c>
      <c r="E4" s="89" t="s">
        <v>208</v>
      </c>
      <c r="F4" s="89" t="s">
        <v>209</v>
      </c>
    </row>
    <row r="5" spans="1:6" s="23" customFormat="1" ht="15.75" x14ac:dyDescent="0.25">
      <c r="A5" s="25"/>
      <c r="B5" s="25"/>
      <c r="C5" s="25" t="s">
        <v>125</v>
      </c>
      <c r="D5" s="90" t="s">
        <v>120</v>
      </c>
      <c r="E5" s="90" t="s">
        <v>120</v>
      </c>
      <c r="F5" s="90" t="s">
        <v>206</v>
      </c>
    </row>
    <row r="6" spans="1:6" ht="15.75" x14ac:dyDescent="0.25">
      <c r="A6" s="6"/>
      <c r="B6" s="13" t="s">
        <v>325</v>
      </c>
      <c r="D6" s="86">
        <v>45875</v>
      </c>
      <c r="E6" s="9">
        <v>54274.07</v>
      </c>
      <c r="F6" s="9">
        <v>34562.61</v>
      </c>
    </row>
    <row r="7" spans="1:6" ht="15.75" x14ac:dyDescent="0.25">
      <c r="A7" s="6"/>
      <c r="B7" s="13" t="s">
        <v>187</v>
      </c>
      <c r="D7" s="86">
        <v>6745</v>
      </c>
      <c r="E7" s="9">
        <v>1506.09</v>
      </c>
      <c r="F7" s="9">
        <v>2147.6799999999998</v>
      </c>
    </row>
    <row r="8" spans="1:6" s="16" customFormat="1" ht="15.75" x14ac:dyDescent="0.25">
      <c r="A8" s="11"/>
      <c r="B8" s="13" t="s">
        <v>190</v>
      </c>
      <c r="C8" s="13"/>
      <c r="D8" s="80">
        <v>2964</v>
      </c>
      <c r="E8" s="9">
        <v>7715.05</v>
      </c>
      <c r="F8" s="9">
        <v>4180.83</v>
      </c>
    </row>
    <row r="9" spans="1:6" s="16" customFormat="1" ht="15.75" x14ac:dyDescent="0.25">
      <c r="A9" s="11"/>
      <c r="B9" s="13" t="s">
        <v>145</v>
      </c>
      <c r="C9" s="13"/>
      <c r="D9" s="80">
        <v>8525</v>
      </c>
      <c r="E9" s="9">
        <v>8150</v>
      </c>
      <c r="F9" s="9">
        <v>9350</v>
      </c>
    </row>
    <row r="10" spans="1:6" s="16" customFormat="1" ht="15.75" x14ac:dyDescent="0.25">
      <c r="A10" s="11"/>
      <c r="B10" s="13" t="s">
        <v>148</v>
      </c>
      <c r="D10" s="80">
        <v>8234</v>
      </c>
      <c r="E10" s="9">
        <v>9756.2899999999991</v>
      </c>
      <c r="F10" s="9">
        <v>7059.2900000000009</v>
      </c>
    </row>
    <row r="11" spans="1:6" s="16" customFormat="1" ht="15.75" x14ac:dyDescent="0.25">
      <c r="A11" s="11"/>
      <c r="B11" s="13" t="s">
        <v>155</v>
      </c>
      <c r="D11" s="80">
        <v>7426</v>
      </c>
      <c r="E11" s="9">
        <v>10171.91</v>
      </c>
      <c r="F11" s="9">
        <v>7730.02</v>
      </c>
    </row>
    <row r="12" spans="1:6" s="16" customFormat="1" ht="15.75" x14ac:dyDescent="0.25">
      <c r="A12" s="11"/>
      <c r="B12" s="13" t="s">
        <v>162</v>
      </c>
      <c r="D12" s="80">
        <v>-311</v>
      </c>
      <c r="E12" s="9">
        <v>131.22999999999999</v>
      </c>
      <c r="F12" s="9">
        <v>180</v>
      </c>
    </row>
    <row r="13" spans="1:6" s="16" customFormat="1" ht="15.75" x14ac:dyDescent="0.25">
      <c r="A13" s="11"/>
      <c r="B13" s="13" t="s">
        <v>73</v>
      </c>
      <c r="D13" s="80">
        <v>1668</v>
      </c>
      <c r="E13" s="9">
        <v>3539.1</v>
      </c>
      <c r="F13" s="9">
        <v>2866.31</v>
      </c>
    </row>
    <row r="14" spans="1:6" s="16" customFormat="1" ht="15.75" x14ac:dyDescent="0.25">
      <c r="A14" s="11"/>
      <c r="B14" s="13" t="s">
        <v>72</v>
      </c>
      <c r="D14" s="80">
        <v>5252</v>
      </c>
      <c r="E14" s="9">
        <v>7594.03</v>
      </c>
      <c r="F14" s="9">
        <v>4711.79</v>
      </c>
    </row>
    <row r="15" spans="1:6" s="16" customFormat="1" ht="15.75" x14ac:dyDescent="0.25">
      <c r="A15" s="11"/>
      <c r="B15" s="13" t="s">
        <v>191</v>
      </c>
      <c r="D15" s="80">
        <v>38000</v>
      </c>
      <c r="E15" s="9">
        <v>38000</v>
      </c>
      <c r="F15" s="9">
        <v>38000</v>
      </c>
    </row>
    <row r="16" spans="1:6" s="16" customFormat="1" ht="15.75" x14ac:dyDescent="0.25">
      <c r="A16" s="19"/>
      <c r="B16" s="15" t="s">
        <v>192</v>
      </c>
      <c r="D16" s="86">
        <v>11950</v>
      </c>
      <c r="E16" s="88">
        <v>18865.39</v>
      </c>
      <c r="F16" s="88">
        <v>15737.36</v>
      </c>
    </row>
    <row r="17" spans="1:6" ht="15.75" x14ac:dyDescent="0.25">
      <c r="D17" s="86"/>
      <c r="E17" s="17"/>
      <c r="F17" s="17"/>
    </row>
    <row r="18" spans="1:6" s="15" customFormat="1" ht="15.75" x14ac:dyDescent="0.25">
      <c r="A18" s="11"/>
      <c r="B18" s="15" t="s">
        <v>195</v>
      </c>
      <c r="D18" s="91">
        <f>SUM(D6:D17)</f>
        <v>136328</v>
      </c>
      <c r="E18" s="91">
        <f t="shared" ref="E18:F18" si="0">SUM(E6:E17)</f>
        <v>159703.15999999997</v>
      </c>
      <c r="F18" s="91">
        <f t="shared" si="0"/>
        <v>126525.89</v>
      </c>
    </row>
    <row r="19" spans="1:6" s="16" customFormat="1" ht="15.75" x14ac:dyDescent="0.25">
      <c r="A19" s="19"/>
      <c r="D19" s="84"/>
      <c r="E19" s="26"/>
      <c r="F19" s="26"/>
    </row>
    <row r="20" spans="1:6" ht="15.75" x14ac:dyDescent="0.25">
      <c r="B20" s="16" t="s">
        <v>189</v>
      </c>
      <c r="D20" s="86">
        <v>20000</v>
      </c>
      <c r="E20" s="26">
        <v>20000</v>
      </c>
      <c r="F20" s="26">
        <v>20000</v>
      </c>
    </row>
    <row r="21" spans="1:6" ht="15.75" x14ac:dyDescent="0.25">
      <c r="B21" t="s">
        <v>194</v>
      </c>
      <c r="D21" s="86">
        <v>0</v>
      </c>
      <c r="E21" s="27">
        <v>4839</v>
      </c>
      <c r="F21" s="27">
        <v>0</v>
      </c>
    </row>
    <row r="22" spans="1:6" ht="15.75" x14ac:dyDescent="0.25">
      <c r="D22" s="86"/>
      <c r="E22" s="27"/>
      <c r="F22" s="27"/>
    </row>
    <row r="23" spans="1:6" s="15" customFormat="1" ht="15.75" x14ac:dyDescent="0.25">
      <c r="A23" s="11"/>
      <c r="B23" s="15" t="s">
        <v>197</v>
      </c>
      <c r="D23" s="91">
        <f>SUM(D18:D22)</f>
        <v>156328</v>
      </c>
      <c r="E23" s="91">
        <f>SUM(E18:E22)</f>
        <v>184542.15999999997</v>
      </c>
      <c r="F23" s="91">
        <f>SUM(F18:F22)</f>
        <v>146525.89000000001</v>
      </c>
    </row>
    <row r="24" spans="1:6" ht="15.75" x14ac:dyDescent="0.25">
      <c r="D24" s="86"/>
      <c r="E24" s="27"/>
      <c r="F24" s="27"/>
    </row>
    <row r="25" spans="1:6" ht="15.75" x14ac:dyDescent="0.25">
      <c r="B25" t="s">
        <v>216</v>
      </c>
      <c r="D25" s="86">
        <v>21600</v>
      </c>
      <c r="E25" s="27">
        <v>21600</v>
      </c>
      <c r="F25" s="27">
        <v>21600</v>
      </c>
    </row>
    <row r="26" spans="1:6" ht="15.75" x14ac:dyDescent="0.25">
      <c r="B26" t="s">
        <v>198</v>
      </c>
      <c r="D26" s="86">
        <v>0</v>
      </c>
      <c r="E26" s="28">
        <v>0</v>
      </c>
      <c r="F26" s="27">
        <v>0</v>
      </c>
    </row>
    <row r="27" spans="1:6" ht="15.75" x14ac:dyDescent="0.25">
      <c r="C27" s="28"/>
      <c r="D27" s="78"/>
      <c r="E27" s="28"/>
      <c r="F27" s="28"/>
    </row>
    <row r="28" spans="1:6" s="16" customFormat="1" ht="16.5" thickBot="1" x14ac:dyDescent="0.3">
      <c r="A28" s="19"/>
      <c r="B28" s="15" t="s">
        <v>326</v>
      </c>
      <c r="C28" s="15"/>
      <c r="D28" s="92">
        <f>D23-D25-D26</f>
        <v>134728</v>
      </c>
      <c r="E28" s="92">
        <f t="shared" ref="E28:F28" si="1">E23-E25-E26</f>
        <v>162942.15999999997</v>
      </c>
      <c r="F28" s="92">
        <f t="shared" si="1"/>
        <v>124925.89000000001</v>
      </c>
    </row>
    <row r="29" spans="1:6" ht="16.5" thickTop="1" x14ac:dyDescent="0.25">
      <c r="D29" s="87"/>
      <c r="E29" s="17"/>
      <c r="F29" s="17"/>
    </row>
    <row r="30" spans="1:6" ht="15.75" x14ac:dyDescent="0.25">
      <c r="B30" t="s">
        <v>327</v>
      </c>
      <c r="D30" s="86">
        <v>35500</v>
      </c>
      <c r="E30" s="27">
        <f>35500*1.25</f>
        <v>44375</v>
      </c>
      <c r="F30" s="27">
        <v>35500</v>
      </c>
    </row>
    <row r="31" spans="1:6" ht="15.75" thickBot="1" x14ac:dyDescent="0.3">
      <c r="B31" s="16" t="s">
        <v>328</v>
      </c>
      <c r="D31" s="81">
        <v>35500</v>
      </c>
      <c r="E31" s="22">
        <v>40000</v>
      </c>
      <c r="F31" s="22">
        <v>35000</v>
      </c>
    </row>
    <row r="32" spans="1:6" ht="15.75" thickBot="1" x14ac:dyDescent="0.3">
      <c r="B32" s="93"/>
      <c r="C32" s="93" t="s">
        <v>329</v>
      </c>
      <c r="D32" s="94">
        <f>D30-D31</f>
        <v>0</v>
      </c>
      <c r="E32" s="95">
        <f>E30-E31</f>
        <v>4375</v>
      </c>
      <c r="F32" s="95">
        <f>F30-F31</f>
        <v>500</v>
      </c>
    </row>
    <row r="34" spans="2:6" x14ac:dyDescent="0.25">
      <c r="D34" s="77">
        <v>2017</v>
      </c>
      <c r="E34" s="77" t="s">
        <v>330</v>
      </c>
      <c r="F34" s="77" t="s">
        <v>209</v>
      </c>
    </row>
    <row r="36" spans="2:6" ht="15.75" x14ac:dyDescent="0.25">
      <c r="C36" s="15" t="s">
        <v>331</v>
      </c>
      <c r="D36" s="79"/>
    </row>
    <row r="37" spans="2:6" ht="15.75" x14ac:dyDescent="0.25">
      <c r="C37" s="11" t="s">
        <v>332</v>
      </c>
      <c r="D37" s="79"/>
    </row>
    <row r="38" spans="2:6" ht="15.75" x14ac:dyDescent="0.25">
      <c r="B38" s="15">
        <v>2016</v>
      </c>
      <c r="C38" s="84">
        <v>2121.41</v>
      </c>
    </row>
    <row r="39" spans="2:6" ht="15.75" x14ac:dyDescent="0.25">
      <c r="B39" s="15">
        <v>2017</v>
      </c>
      <c r="C39" s="84">
        <v>0</v>
      </c>
    </row>
    <row r="40" spans="2:6" ht="15.75" x14ac:dyDescent="0.25">
      <c r="B40" s="79" t="s">
        <v>208</v>
      </c>
      <c r="C40" s="84">
        <v>4375</v>
      </c>
    </row>
    <row r="41" spans="2:6" ht="15.75" x14ac:dyDescent="0.25">
      <c r="B41" s="79" t="s">
        <v>202</v>
      </c>
      <c r="C41" s="84">
        <v>500</v>
      </c>
    </row>
    <row r="42" spans="2:6" ht="15.75" x14ac:dyDescent="0.25">
      <c r="B42" s="79" t="s">
        <v>203</v>
      </c>
      <c r="C42" s="84">
        <v>500</v>
      </c>
    </row>
    <row r="43" spans="2:6" ht="15.75" x14ac:dyDescent="0.25">
      <c r="B43" s="77" t="s">
        <v>334</v>
      </c>
      <c r="C43" s="84">
        <f>SUM(C38:C42)</f>
        <v>7496.41</v>
      </c>
    </row>
    <row r="44" spans="2:6" x14ac:dyDescent="0.25">
      <c r="D44" s="81"/>
    </row>
  </sheetData>
  <pageMargins left="0.7" right="0.7" top="0.75" bottom="0.75" header="0.3" footer="0.3"/>
  <pageSetup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26D9E-9544-4418-B7D3-B508D8288BFB}">
  <dimension ref="A1:P554"/>
  <sheetViews>
    <sheetView zoomScaleNormal="100" workbookViewId="0">
      <pane xSplit="3" ySplit="1" topLeftCell="I18" activePane="bottomRight" state="frozen"/>
      <selection pane="topRight" activeCell="D1" sqref="D1"/>
      <selection pane="bottomLeft" activeCell="A2" sqref="A2"/>
      <selection pane="bottomRight" activeCell="N32" sqref="N32"/>
    </sheetView>
  </sheetViews>
  <sheetFormatPr defaultRowHeight="15" x14ac:dyDescent="0.25"/>
  <cols>
    <col min="1" max="1" width="6.28515625" customWidth="1"/>
    <col min="2" max="2" width="6.7109375" customWidth="1"/>
    <col min="3" max="3" width="13.7109375" bestFit="1" customWidth="1"/>
    <col min="4" max="4" width="35.140625" customWidth="1"/>
    <col min="5" max="5" width="20.85546875" customWidth="1"/>
    <col min="6" max="6" width="5.140625" bestFit="1" customWidth="1"/>
    <col min="7" max="7" width="13.28515625" customWidth="1"/>
    <col min="8" max="8" width="11.85546875" bestFit="1" customWidth="1"/>
    <col min="9" max="9" width="12" bestFit="1" customWidth="1"/>
    <col min="10" max="10" width="4" customWidth="1"/>
    <col min="11" max="11" width="8.5703125" style="18" customWidth="1"/>
    <col min="12" max="12" width="34.140625" customWidth="1"/>
    <col min="13" max="13" width="19.140625" style="145" customWidth="1"/>
    <col min="14" max="14" width="10.85546875" customWidth="1"/>
    <col min="15" max="15" width="15.7109375" style="4" customWidth="1"/>
  </cols>
  <sheetData>
    <row r="1" spans="1:15" ht="18.75" x14ac:dyDescent="0.3">
      <c r="A1" s="131"/>
      <c r="B1" s="131"/>
      <c r="C1" s="132" t="s">
        <v>109</v>
      </c>
      <c r="D1" s="132" t="s">
        <v>351</v>
      </c>
      <c r="E1" s="132" t="s">
        <v>352</v>
      </c>
      <c r="F1" s="132" t="s">
        <v>353</v>
      </c>
      <c r="G1" s="133" t="s">
        <v>354</v>
      </c>
      <c r="H1" s="133" t="s">
        <v>355</v>
      </c>
      <c r="I1" s="133" t="s">
        <v>356</v>
      </c>
      <c r="J1" s="134" t="s">
        <v>357</v>
      </c>
      <c r="K1" s="151" t="s">
        <v>1294</v>
      </c>
      <c r="N1" s="16" t="s">
        <v>1328</v>
      </c>
      <c r="O1" s="97" t="s">
        <v>16</v>
      </c>
    </row>
    <row r="2" spans="1:15" x14ac:dyDescent="0.25">
      <c r="A2" s="130" t="s">
        <v>402</v>
      </c>
      <c r="B2" s="130" t="s">
        <v>403</v>
      </c>
      <c r="C2" s="135"/>
      <c r="D2" s="135"/>
      <c r="E2" s="135"/>
      <c r="F2" s="135"/>
      <c r="G2" s="135"/>
      <c r="H2" s="135"/>
      <c r="I2" s="136">
        <v>0</v>
      </c>
      <c r="J2" s="134" t="s">
        <v>359</v>
      </c>
    </row>
    <row r="3" spans="1:15" x14ac:dyDescent="0.25">
      <c r="K3" s="141" t="s">
        <v>404</v>
      </c>
      <c r="L3" s="130" t="s">
        <v>405</v>
      </c>
      <c r="M3" s="146">
        <v>16612.96</v>
      </c>
      <c r="N3" s="4">
        <v>9619</v>
      </c>
    </row>
    <row r="4" spans="1:15" x14ac:dyDescent="0.25">
      <c r="A4" s="130" t="s">
        <v>415</v>
      </c>
      <c r="B4" s="130" t="s">
        <v>416</v>
      </c>
      <c r="C4" s="135"/>
      <c r="D4" s="135"/>
      <c r="E4" s="135"/>
      <c r="F4" s="135"/>
      <c r="G4" s="135"/>
      <c r="H4" s="135"/>
      <c r="I4" s="136">
        <v>0</v>
      </c>
      <c r="J4" s="134" t="s">
        <v>359</v>
      </c>
      <c r="K4" s="141" t="s">
        <v>406</v>
      </c>
      <c r="L4" s="130" t="s">
        <v>407</v>
      </c>
      <c r="M4" s="146">
        <v>659.64</v>
      </c>
      <c r="N4" s="4">
        <v>2435</v>
      </c>
    </row>
    <row r="5" spans="1:15" x14ac:dyDescent="0.25">
      <c r="A5" s="131"/>
      <c r="B5" s="131"/>
      <c r="C5" s="137">
        <v>43567</v>
      </c>
      <c r="D5" s="134" t="s">
        <v>417</v>
      </c>
      <c r="E5" s="134" t="s">
        <v>418</v>
      </c>
      <c r="F5" s="134" t="s">
        <v>419</v>
      </c>
      <c r="G5" s="136">
        <v>232.51</v>
      </c>
      <c r="H5" s="136">
        <v>0</v>
      </c>
      <c r="I5" s="136">
        <v>232.51</v>
      </c>
      <c r="J5" s="134" t="s">
        <v>359</v>
      </c>
      <c r="K5" s="141" t="s">
        <v>411</v>
      </c>
      <c r="L5" s="130" t="s">
        <v>412</v>
      </c>
      <c r="M5" s="146">
        <v>730.5</v>
      </c>
      <c r="N5" s="4"/>
    </row>
    <row r="6" spans="1:15" x14ac:dyDescent="0.25">
      <c r="A6" s="131"/>
      <c r="B6" s="131"/>
      <c r="C6" s="137">
        <v>43628</v>
      </c>
      <c r="D6" s="134" t="s">
        <v>417</v>
      </c>
      <c r="E6" s="134" t="s">
        <v>420</v>
      </c>
      <c r="F6" s="134" t="s">
        <v>421</v>
      </c>
      <c r="G6" s="136">
        <v>209.78</v>
      </c>
      <c r="H6" s="136">
        <v>0</v>
      </c>
      <c r="I6" s="136">
        <v>442.29</v>
      </c>
      <c r="J6" s="134" t="s">
        <v>359</v>
      </c>
      <c r="K6" s="141" t="s">
        <v>413</v>
      </c>
      <c r="L6" s="130" t="s">
        <v>414</v>
      </c>
      <c r="M6" s="146">
        <v>376.69</v>
      </c>
      <c r="N6" s="4"/>
    </row>
    <row r="7" spans="1:15" x14ac:dyDescent="0.25">
      <c r="A7" s="131"/>
      <c r="B7" s="131"/>
      <c r="C7" s="137">
        <v>43658</v>
      </c>
      <c r="D7" s="134" t="s">
        <v>417</v>
      </c>
      <c r="E7" s="134" t="s">
        <v>422</v>
      </c>
      <c r="F7" s="134" t="s">
        <v>423</v>
      </c>
      <c r="G7" s="136">
        <v>132.38</v>
      </c>
      <c r="H7" s="136">
        <v>0</v>
      </c>
      <c r="I7" s="136">
        <v>574.66999999999996</v>
      </c>
      <c r="J7" s="134" t="s">
        <v>359</v>
      </c>
      <c r="K7" s="141" t="s">
        <v>1269</v>
      </c>
      <c r="L7" s="130" t="s">
        <v>1270</v>
      </c>
      <c r="M7" s="146">
        <v>147031.38</v>
      </c>
      <c r="N7" s="4"/>
    </row>
    <row r="8" spans="1:15" x14ac:dyDescent="0.25">
      <c r="A8" s="131"/>
      <c r="B8" s="131"/>
      <c r="C8" s="137">
        <v>43688</v>
      </c>
      <c r="D8" s="134" t="s">
        <v>417</v>
      </c>
      <c r="E8" s="134" t="s">
        <v>365</v>
      </c>
      <c r="F8" s="134" t="s">
        <v>424</v>
      </c>
      <c r="G8" s="136">
        <v>129.87</v>
      </c>
      <c r="H8" s="136">
        <v>0</v>
      </c>
      <c r="I8" s="136">
        <v>704.54</v>
      </c>
      <c r="J8" s="134" t="s">
        <v>359</v>
      </c>
      <c r="K8" s="141" t="s">
        <v>1271</v>
      </c>
      <c r="L8" s="130" t="s">
        <v>1272</v>
      </c>
      <c r="M8" s="146">
        <v>8310.81</v>
      </c>
      <c r="N8" s="4"/>
    </row>
    <row r="9" spans="1:15" x14ac:dyDescent="0.25">
      <c r="A9" s="131"/>
      <c r="B9" s="131"/>
      <c r="C9" s="137">
        <v>43719</v>
      </c>
      <c r="D9" s="134" t="s">
        <v>417</v>
      </c>
      <c r="E9" s="134" t="s">
        <v>425</v>
      </c>
      <c r="F9" s="134" t="s">
        <v>426</v>
      </c>
      <c r="G9" s="136">
        <v>130.02000000000001</v>
      </c>
      <c r="H9" s="136">
        <v>0</v>
      </c>
      <c r="I9" s="136">
        <v>834.56</v>
      </c>
      <c r="J9" s="134" t="s">
        <v>359</v>
      </c>
      <c r="K9" s="141" t="s">
        <v>1273</v>
      </c>
      <c r="L9" s="130" t="s">
        <v>1274</v>
      </c>
      <c r="M9" s="146">
        <v>4112.45</v>
      </c>
      <c r="N9" s="4"/>
    </row>
    <row r="10" spans="1:15" x14ac:dyDescent="0.25">
      <c r="A10" s="131"/>
      <c r="B10" s="131"/>
      <c r="C10" s="137">
        <v>43744</v>
      </c>
      <c r="D10" s="134" t="s">
        <v>417</v>
      </c>
      <c r="E10" s="134" t="s">
        <v>427</v>
      </c>
      <c r="F10" s="134" t="s">
        <v>428</v>
      </c>
      <c r="G10" s="136">
        <v>129.97999999999999</v>
      </c>
      <c r="H10" s="136">
        <v>0</v>
      </c>
      <c r="I10" s="136">
        <v>964.54</v>
      </c>
      <c r="J10" s="134" t="s">
        <v>359</v>
      </c>
      <c r="K10" s="141" t="s">
        <v>1275</v>
      </c>
      <c r="L10" s="130" t="s">
        <v>1276</v>
      </c>
      <c r="M10" s="146">
        <v>-1146.9000000000001</v>
      </c>
      <c r="N10" s="4"/>
    </row>
    <row r="11" spans="1:15" x14ac:dyDescent="0.25">
      <c r="A11" s="131"/>
      <c r="B11" s="131"/>
      <c r="C11" s="137">
        <v>43761</v>
      </c>
      <c r="D11" s="134" t="s">
        <v>417</v>
      </c>
      <c r="E11" s="134" t="s">
        <v>429</v>
      </c>
      <c r="F11" s="134" t="s">
        <v>430</v>
      </c>
      <c r="G11" s="136">
        <v>118.22</v>
      </c>
      <c r="H11" s="136">
        <v>0</v>
      </c>
      <c r="I11" s="136">
        <v>1082.76</v>
      </c>
      <c r="J11" s="134" t="s">
        <v>359</v>
      </c>
      <c r="M11" s="147">
        <f>SUM(M3:M10)</f>
        <v>176687.53000000003</v>
      </c>
      <c r="N11" s="4"/>
    </row>
    <row r="12" spans="1:15" x14ac:dyDescent="0.25">
      <c r="A12" s="131"/>
      <c r="B12" s="131"/>
      <c r="C12" s="137">
        <v>43770</v>
      </c>
      <c r="D12" s="134" t="s">
        <v>431</v>
      </c>
      <c r="E12" s="134" t="s">
        <v>432</v>
      </c>
      <c r="F12" s="134" t="s">
        <v>433</v>
      </c>
      <c r="G12" s="136">
        <v>70</v>
      </c>
      <c r="H12" s="136">
        <v>0</v>
      </c>
      <c r="I12" s="136">
        <v>1152.76</v>
      </c>
      <c r="J12" s="134" t="s">
        <v>359</v>
      </c>
      <c r="N12" s="4"/>
    </row>
    <row r="13" spans="1:15" x14ac:dyDescent="0.25">
      <c r="A13" s="131"/>
      <c r="B13" s="131"/>
      <c r="C13" s="137">
        <v>43779</v>
      </c>
      <c r="D13" s="134" t="s">
        <v>417</v>
      </c>
      <c r="E13" s="134" t="s">
        <v>434</v>
      </c>
      <c r="F13" s="134" t="s">
        <v>435</v>
      </c>
      <c r="G13" s="136">
        <v>132.58000000000001</v>
      </c>
      <c r="H13" s="136">
        <v>0</v>
      </c>
      <c r="I13" s="136">
        <v>1285.3399999999999</v>
      </c>
      <c r="J13" s="134" t="s">
        <v>359</v>
      </c>
      <c r="N13" s="4"/>
    </row>
    <row r="14" spans="1:15" x14ac:dyDescent="0.25">
      <c r="A14" s="131"/>
      <c r="B14" s="131"/>
      <c r="C14" s="137">
        <v>43779</v>
      </c>
      <c r="D14" s="134" t="s">
        <v>417</v>
      </c>
      <c r="E14" s="134" t="s">
        <v>436</v>
      </c>
      <c r="F14" s="134" t="s">
        <v>437</v>
      </c>
      <c r="G14" s="136">
        <v>0</v>
      </c>
      <c r="H14" s="136">
        <v>129.87</v>
      </c>
      <c r="I14" s="136">
        <v>1155.47</v>
      </c>
      <c r="J14" s="134" t="s">
        <v>359</v>
      </c>
      <c r="L14" s="1" t="s">
        <v>79</v>
      </c>
      <c r="N14" s="4"/>
    </row>
    <row r="15" spans="1:15" x14ac:dyDescent="0.25">
      <c r="A15" s="131"/>
      <c r="B15" s="131"/>
      <c r="C15" s="137">
        <v>43800</v>
      </c>
      <c r="D15" s="134" t="s">
        <v>438</v>
      </c>
      <c r="E15" s="134" t="s">
        <v>439</v>
      </c>
      <c r="F15" s="134" t="s">
        <v>440</v>
      </c>
      <c r="G15" s="136">
        <v>70</v>
      </c>
      <c r="H15" s="136">
        <v>0</v>
      </c>
      <c r="I15" s="136">
        <v>1225.47</v>
      </c>
      <c r="J15" s="134" t="s">
        <v>359</v>
      </c>
      <c r="K15" s="141" t="s">
        <v>971</v>
      </c>
      <c r="L15" s="130" t="s">
        <v>105</v>
      </c>
      <c r="M15" s="146">
        <v>500.54</v>
      </c>
      <c r="N15" s="4">
        <v>1300</v>
      </c>
      <c r="O15" s="4">
        <v>1500</v>
      </c>
    </row>
    <row r="16" spans="1:15" x14ac:dyDescent="0.25">
      <c r="A16" s="131"/>
      <c r="B16" s="131"/>
      <c r="C16" s="137">
        <v>43811</v>
      </c>
      <c r="D16" s="134" t="s">
        <v>417</v>
      </c>
      <c r="E16" s="134" t="s">
        <v>439</v>
      </c>
      <c r="F16" s="134" t="s">
        <v>441</v>
      </c>
      <c r="G16" s="136">
        <v>129.47</v>
      </c>
      <c r="H16" s="136">
        <v>0</v>
      </c>
      <c r="I16" s="136">
        <v>1354.94</v>
      </c>
      <c r="J16" s="134" t="s">
        <v>359</v>
      </c>
      <c r="K16" s="141" t="s">
        <v>976</v>
      </c>
      <c r="L16" s="130" t="s">
        <v>977</v>
      </c>
      <c r="M16" s="146">
        <v>3706.47</v>
      </c>
      <c r="N16" s="4">
        <v>4000</v>
      </c>
      <c r="O16" s="4">
        <v>4000</v>
      </c>
    </row>
    <row r="17" spans="1:15" x14ac:dyDescent="0.25">
      <c r="A17" s="131"/>
      <c r="B17" s="131"/>
      <c r="C17" s="137">
        <v>43831</v>
      </c>
      <c r="D17" s="134" t="s">
        <v>442</v>
      </c>
      <c r="E17" s="134" t="s">
        <v>443</v>
      </c>
      <c r="F17" s="134" t="s">
        <v>444</v>
      </c>
      <c r="G17" s="136">
        <v>70</v>
      </c>
      <c r="H17" s="136">
        <v>0</v>
      </c>
      <c r="I17" s="136">
        <v>1424.94</v>
      </c>
      <c r="J17" s="134" t="s">
        <v>359</v>
      </c>
      <c r="K17" s="141" t="s">
        <v>1007</v>
      </c>
      <c r="L17" s="130" t="s">
        <v>1008</v>
      </c>
      <c r="M17" s="146">
        <v>3098.72</v>
      </c>
      <c r="N17" s="4">
        <v>4000</v>
      </c>
      <c r="O17" s="4">
        <v>4000</v>
      </c>
    </row>
    <row r="18" spans="1:15" x14ac:dyDescent="0.25">
      <c r="A18" s="131"/>
      <c r="B18" s="131"/>
      <c r="C18" s="137">
        <v>43840</v>
      </c>
      <c r="D18" s="134" t="s">
        <v>445</v>
      </c>
      <c r="E18" s="134" t="s">
        <v>446</v>
      </c>
      <c r="F18" s="134" t="s">
        <v>447</v>
      </c>
      <c r="G18" s="136">
        <v>129.82</v>
      </c>
      <c r="H18" s="136">
        <v>0</v>
      </c>
      <c r="I18" s="136">
        <v>1554.76</v>
      </c>
      <c r="J18" s="134" t="s">
        <v>359</v>
      </c>
      <c r="M18" s="147">
        <f>SUM(M15:M17)</f>
        <v>7305.73</v>
      </c>
      <c r="N18" s="147">
        <f t="shared" ref="N18:O18" si="0">SUM(N15:N17)</f>
        <v>9300</v>
      </c>
      <c r="O18" s="147">
        <f t="shared" si="0"/>
        <v>9500</v>
      </c>
    </row>
    <row r="19" spans="1:15" x14ac:dyDescent="0.25">
      <c r="A19" s="131"/>
      <c r="B19" s="131"/>
      <c r="C19" s="137">
        <v>43862</v>
      </c>
      <c r="D19" s="134" t="s">
        <v>448</v>
      </c>
      <c r="E19" s="134" t="s">
        <v>409</v>
      </c>
      <c r="F19" s="134" t="s">
        <v>449</v>
      </c>
      <c r="G19" s="136">
        <v>70</v>
      </c>
      <c r="H19" s="136">
        <v>0</v>
      </c>
      <c r="I19" s="136">
        <v>1624.76</v>
      </c>
      <c r="J19" s="134" t="s">
        <v>359</v>
      </c>
      <c r="L19" s="1" t="s">
        <v>84</v>
      </c>
      <c r="N19" s="4"/>
    </row>
    <row r="20" spans="1:15" x14ac:dyDescent="0.25">
      <c r="A20" s="131"/>
      <c r="B20" s="131"/>
      <c r="C20" s="137">
        <v>43873</v>
      </c>
      <c r="D20" s="134" t="s">
        <v>417</v>
      </c>
      <c r="E20" s="134" t="s">
        <v>409</v>
      </c>
      <c r="F20" s="134" t="s">
        <v>450</v>
      </c>
      <c r="G20" s="136">
        <v>126.59</v>
      </c>
      <c r="H20" s="136">
        <v>0</v>
      </c>
      <c r="I20" s="136">
        <v>1751.35</v>
      </c>
      <c r="J20" s="134" t="s">
        <v>359</v>
      </c>
      <c r="K20" s="141" t="s">
        <v>489</v>
      </c>
      <c r="L20" s="130" t="s">
        <v>490</v>
      </c>
      <c r="M20" s="146">
        <v>1719.77</v>
      </c>
      <c r="N20" s="4">
        <v>1715</v>
      </c>
      <c r="O20" s="4">
        <v>1500</v>
      </c>
    </row>
    <row r="21" spans="1:15" x14ac:dyDescent="0.25">
      <c r="A21" s="131"/>
      <c r="B21" s="131"/>
      <c r="C21" s="137">
        <v>43891</v>
      </c>
      <c r="D21" s="134" t="s">
        <v>451</v>
      </c>
      <c r="E21" s="134" t="s">
        <v>452</v>
      </c>
      <c r="F21" s="134" t="s">
        <v>453</v>
      </c>
      <c r="G21" s="136">
        <v>70</v>
      </c>
      <c r="H21" s="136">
        <v>0</v>
      </c>
      <c r="I21" s="136">
        <v>1821.35</v>
      </c>
      <c r="J21" s="134" t="s">
        <v>359</v>
      </c>
      <c r="K21" s="141" t="s">
        <v>524</v>
      </c>
      <c r="L21" s="130" t="s">
        <v>525</v>
      </c>
      <c r="M21" s="146">
        <v>1627.1</v>
      </c>
      <c r="N21" s="4">
        <v>1397</v>
      </c>
      <c r="O21" s="4">
        <v>2000</v>
      </c>
    </row>
    <row r="22" spans="1:15" x14ac:dyDescent="0.25">
      <c r="A22" s="131"/>
      <c r="B22" s="131"/>
      <c r="C22" s="137">
        <v>43893</v>
      </c>
      <c r="D22" s="134" t="s">
        <v>417</v>
      </c>
      <c r="E22" s="134" t="s">
        <v>454</v>
      </c>
      <c r="F22" s="134" t="s">
        <v>455</v>
      </c>
      <c r="G22" s="136">
        <v>126.59</v>
      </c>
      <c r="H22" s="136">
        <v>0</v>
      </c>
      <c r="I22" s="136">
        <v>1947.94</v>
      </c>
      <c r="J22" s="134" t="s">
        <v>359</v>
      </c>
      <c r="K22" s="141" t="s">
        <v>1030</v>
      </c>
      <c r="L22" s="130" t="s">
        <v>1031</v>
      </c>
      <c r="M22" s="146">
        <v>2541</v>
      </c>
      <c r="N22" s="4">
        <v>2600</v>
      </c>
      <c r="O22" s="4">
        <v>3000</v>
      </c>
    </row>
    <row r="23" spans="1:15" x14ac:dyDescent="0.25">
      <c r="A23" s="131"/>
      <c r="B23" s="131"/>
      <c r="C23" s="137">
        <v>43921</v>
      </c>
      <c r="D23" s="134" t="s">
        <v>417</v>
      </c>
      <c r="E23" s="134" t="s">
        <v>456</v>
      </c>
      <c r="F23" s="134" t="s">
        <v>457</v>
      </c>
      <c r="G23" s="136">
        <v>0</v>
      </c>
      <c r="H23" s="136">
        <v>2.72</v>
      </c>
      <c r="I23" s="136">
        <v>1945.22</v>
      </c>
      <c r="J23" s="134" t="s">
        <v>359</v>
      </c>
      <c r="M23" s="147">
        <f>SUM(M19:M22)</f>
        <v>5887.87</v>
      </c>
      <c r="N23" s="147">
        <f t="shared" ref="N23:O23" si="1">SUM(N19:N22)</f>
        <v>5712</v>
      </c>
      <c r="O23" s="147">
        <f t="shared" si="1"/>
        <v>6500</v>
      </c>
    </row>
    <row r="24" spans="1:15" x14ac:dyDescent="0.25">
      <c r="A24" s="131"/>
      <c r="B24" s="131"/>
      <c r="C24" s="137">
        <v>43921</v>
      </c>
      <c r="D24" s="134" t="s">
        <v>458</v>
      </c>
      <c r="E24" s="134" t="s">
        <v>459</v>
      </c>
      <c r="F24" s="134" t="s">
        <v>460</v>
      </c>
      <c r="G24" s="138">
        <v>0</v>
      </c>
      <c r="H24" s="138">
        <v>109.56</v>
      </c>
      <c r="I24" s="136">
        <v>1835.66</v>
      </c>
      <c r="J24" s="134" t="s">
        <v>359</v>
      </c>
      <c r="L24" s="1" t="s">
        <v>66</v>
      </c>
      <c r="N24" s="4"/>
    </row>
    <row r="25" spans="1:15" x14ac:dyDescent="0.25">
      <c r="A25" s="131"/>
      <c r="B25" s="131"/>
      <c r="C25" s="131"/>
      <c r="D25" s="131"/>
      <c r="E25" s="131"/>
      <c r="F25" s="131"/>
      <c r="G25" s="136">
        <f>SUBTOTAL(9,G5:G24)</f>
        <v>2077.81</v>
      </c>
      <c r="H25" s="136">
        <f>SUBTOTAL(9,H5:H24)</f>
        <v>242.15</v>
      </c>
      <c r="K25" s="141" t="s">
        <v>1203</v>
      </c>
      <c r="L25" s="130" t="s">
        <v>1204</v>
      </c>
      <c r="M25" s="150">
        <v>626.11</v>
      </c>
      <c r="N25" s="162">
        <v>625</v>
      </c>
      <c r="O25" s="125">
        <v>1500</v>
      </c>
    </row>
    <row r="26" spans="1:15" x14ac:dyDescent="0.25">
      <c r="N26" s="4"/>
    </row>
    <row r="27" spans="1:15" x14ac:dyDescent="0.25">
      <c r="A27" s="130" t="s">
        <v>461</v>
      </c>
      <c r="B27" s="130" t="s">
        <v>462</v>
      </c>
      <c r="C27" s="135"/>
      <c r="D27" s="135"/>
      <c r="E27" s="135"/>
      <c r="F27" s="135"/>
      <c r="G27" s="135"/>
      <c r="H27" s="135"/>
      <c r="I27" s="136">
        <v>0</v>
      </c>
      <c r="J27" s="134" t="s">
        <v>359</v>
      </c>
      <c r="L27" s="1" t="s">
        <v>72</v>
      </c>
      <c r="N27" s="4"/>
    </row>
    <row r="28" spans="1:15" x14ac:dyDescent="0.25">
      <c r="A28" s="131"/>
      <c r="B28" s="131"/>
      <c r="C28" s="137">
        <v>43558</v>
      </c>
      <c r="D28" s="134" t="s">
        <v>445</v>
      </c>
      <c r="E28" s="134" t="s">
        <v>418</v>
      </c>
      <c r="F28" s="134" t="s">
        <v>463</v>
      </c>
      <c r="G28" s="136">
        <v>195.94</v>
      </c>
      <c r="H28" s="136">
        <v>0</v>
      </c>
      <c r="I28" s="136">
        <v>195.94</v>
      </c>
      <c r="J28" s="134" t="s">
        <v>359</v>
      </c>
      <c r="K28" s="141" t="s">
        <v>415</v>
      </c>
      <c r="L28" s="130" t="s">
        <v>416</v>
      </c>
      <c r="M28" s="146">
        <v>1835.66</v>
      </c>
      <c r="N28" s="4"/>
      <c r="O28" s="4">
        <v>1000</v>
      </c>
    </row>
    <row r="29" spans="1:15" x14ac:dyDescent="0.25">
      <c r="A29" s="131"/>
      <c r="B29" s="131"/>
      <c r="C29" s="137">
        <v>43586</v>
      </c>
      <c r="D29" s="134" t="s">
        <v>445</v>
      </c>
      <c r="E29" s="134" t="s">
        <v>464</v>
      </c>
      <c r="F29" s="134" t="s">
        <v>465</v>
      </c>
      <c r="G29" s="136">
        <v>192.71</v>
      </c>
      <c r="H29" s="136">
        <v>0</v>
      </c>
      <c r="I29" s="136">
        <v>388.65</v>
      </c>
      <c r="J29" s="134" t="s">
        <v>359</v>
      </c>
      <c r="K29" s="141" t="s">
        <v>461</v>
      </c>
      <c r="L29" s="130" t="s">
        <v>462</v>
      </c>
      <c r="M29" s="146">
        <v>2354.13</v>
      </c>
      <c r="N29" s="4"/>
      <c r="O29" s="4">
        <v>4000</v>
      </c>
    </row>
    <row r="30" spans="1:15" x14ac:dyDescent="0.25">
      <c r="A30" s="131"/>
      <c r="B30" s="131"/>
      <c r="C30" s="137">
        <v>43619</v>
      </c>
      <c r="D30" s="134" t="s">
        <v>445</v>
      </c>
      <c r="E30" s="134" t="s">
        <v>420</v>
      </c>
      <c r="F30" s="134" t="s">
        <v>466</v>
      </c>
      <c r="G30" s="136">
        <v>191.34</v>
      </c>
      <c r="H30" s="136">
        <v>0</v>
      </c>
      <c r="I30" s="136">
        <v>579.99</v>
      </c>
      <c r="J30" s="134" t="s">
        <v>359</v>
      </c>
      <c r="M30" s="147">
        <f>SUM(M28:M29)</f>
        <v>4189.79</v>
      </c>
      <c r="N30" s="4"/>
      <c r="O30" s="147">
        <f>SUM(O28:O29)</f>
        <v>5000</v>
      </c>
    </row>
    <row r="31" spans="1:15" x14ac:dyDescent="0.25">
      <c r="A31" s="131"/>
      <c r="B31" s="131"/>
      <c r="C31" s="137">
        <v>43649</v>
      </c>
      <c r="D31" s="134" t="s">
        <v>445</v>
      </c>
      <c r="E31" s="134" t="s">
        <v>422</v>
      </c>
      <c r="F31" s="134" t="s">
        <v>467</v>
      </c>
      <c r="G31" s="136">
        <v>197.74</v>
      </c>
      <c r="H31" s="136">
        <v>0</v>
      </c>
      <c r="I31" s="136">
        <v>777.73</v>
      </c>
      <c r="J31" s="134" t="s">
        <v>359</v>
      </c>
      <c r="L31" s="1" t="s">
        <v>80</v>
      </c>
      <c r="N31" s="4"/>
    </row>
    <row r="32" spans="1:15" x14ac:dyDescent="0.25">
      <c r="A32" s="131"/>
      <c r="B32" s="131"/>
      <c r="C32" s="137">
        <v>43678</v>
      </c>
      <c r="D32" s="134" t="s">
        <v>445</v>
      </c>
      <c r="E32" s="134" t="s">
        <v>365</v>
      </c>
      <c r="F32" s="134" t="s">
        <v>468</v>
      </c>
      <c r="G32" s="136">
        <v>192.07</v>
      </c>
      <c r="H32" s="136">
        <v>0</v>
      </c>
      <c r="I32" s="136">
        <v>969.8</v>
      </c>
      <c r="J32" s="134" t="s">
        <v>359</v>
      </c>
      <c r="K32" s="141" t="s">
        <v>616</v>
      </c>
      <c r="L32" s="130" t="s">
        <v>617</v>
      </c>
      <c r="M32" s="150">
        <v>2581.94</v>
      </c>
      <c r="N32" s="4">
        <v>1867</v>
      </c>
      <c r="O32" s="4">
        <v>1500</v>
      </c>
    </row>
    <row r="33" spans="1:15" x14ac:dyDescent="0.25">
      <c r="A33" s="131"/>
      <c r="B33" s="131"/>
      <c r="C33" s="137">
        <v>43705</v>
      </c>
      <c r="D33" s="134" t="s">
        <v>469</v>
      </c>
      <c r="E33" s="134" t="s">
        <v>470</v>
      </c>
      <c r="F33" s="134" t="s">
        <v>471</v>
      </c>
      <c r="G33" s="136">
        <v>0</v>
      </c>
      <c r="H33" s="136">
        <v>27.39</v>
      </c>
      <c r="I33" s="136">
        <v>942.41</v>
      </c>
      <c r="J33" s="134" t="s">
        <v>359</v>
      </c>
      <c r="N33" s="4"/>
    </row>
    <row r="34" spans="1:15" x14ac:dyDescent="0.25">
      <c r="A34" s="131"/>
      <c r="B34" s="131"/>
      <c r="C34" s="137">
        <v>43709</v>
      </c>
      <c r="D34" s="134" t="s">
        <v>445</v>
      </c>
      <c r="E34" s="134" t="s">
        <v>425</v>
      </c>
      <c r="F34" s="134" t="s">
        <v>472</v>
      </c>
      <c r="G34" s="136">
        <v>192.55</v>
      </c>
      <c r="H34" s="136">
        <v>0</v>
      </c>
      <c r="I34" s="136">
        <v>1134.96</v>
      </c>
      <c r="J34" s="134" t="s">
        <v>359</v>
      </c>
      <c r="L34" s="1" t="s">
        <v>83</v>
      </c>
      <c r="N34" s="4"/>
    </row>
    <row r="35" spans="1:15" x14ac:dyDescent="0.25">
      <c r="A35" s="131"/>
      <c r="B35" s="131"/>
      <c r="C35" s="137">
        <v>43739</v>
      </c>
      <c r="D35" s="134" t="s">
        <v>445</v>
      </c>
      <c r="E35" s="134" t="s">
        <v>473</v>
      </c>
      <c r="F35" s="134" t="s">
        <v>474</v>
      </c>
      <c r="G35" s="136">
        <v>199.86</v>
      </c>
      <c r="H35" s="136">
        <v>0</v>
      </c>
      <c r="I35" s="136">
        <v>1334.82</v>
      </c>
      <c r="J35" s="134" t="s">
        <v>359</v>
      </c>
      <c r="K35" s="141" t="s">
        <v>846</v>
      </c>
      <c r="L35" s="130" t="s">
        <v>847</v>
      </c>
      <c r="M35" s="146">
        <v>1904.18</v>
      </c>
      <c r="N35" s="4">
        <v>300</v>
      </c>
      <c r="O35" s="4">
        <v>1500</v>
      </c>
    </row>
    <row r="36" spans="1:15" x14ac:dyDescent="0.25">
      <c r="A36" s="131"/>
      <c r="B36" s="131"/>
      <c r="C36" s="137">
        <v>43770</v>
      </c>
      <c r="D36" s="134" t="s">
        <v>445</v>
      </c>
      <c r="E36" s="134" t="s">
        <v>475</v>
      </c>
      <c r="F36" s="134" t="s">
        <v>476</v>
      </c>
      <c r="G36" s="136">
        <v>194.63</v>
      </c>
      <c r="H36" s="136">
        <v>0</v>
      </c>
      <c r="I36" s="136">
        <v>1529.45</v>
      </c>
      <c r="J36" s="134" t="s">
        <v>359</v>
      </c>
      <c r="K36" s="141" t="s">
        <v>870</v>
      </c>
      <c r="L36" s="130" t="s">
        <v>871</v>
      </c>
      <c r="M36" s="146">
        <v>2793.58</v>
      </c>
      <c r="N36" s="4">
        <v>550</v>
      </c>
      <c r="O36" s="4">
        <v>2500</v>
      </c>
    </row>
    <row r="37" spans="1:15" x14ac:dyDescent="0.25">
      <c r="A37" s="131"/>
      <c r="B37" s="131"/>
      <c r="C37" s="137">
        <v>43800</v>
      </c>
      <c r="D37" s="134" t="s">
        <v>445</v>
      </c>
      <c r="E37" s="134" t="s">
        <v>477</v>
      </c>
      <c r="F37" s="134" t="s">
        <v>478</v>
      </c>
      <c r="G37" s="136">
        <v>115.03</v>
      </c>
      <c r="H37" s="136">
        <v>0</v>
      </c>
      <c r="I37" s="136">
        <v>1644.48</v>
      </c>
      <c r="J37" s="134" t="s">
        <v>359</v>
      </c>
      <c r="M37" s="147">
        <f>SUM(M35:M36)</f>
        <v>4697.76</v>
      </c>
      <c r="N37" s="147">
        <f t="shared" ref="N37:O37" si="2">SUM(N35:N36)</f>
        <v>850</v>
      </c>
      <c r="O37" s="147">
        <f t="shared" si="2"/>
        <v>4000</v>
      </c>
    </row>
    <row r="38" spans="1:15" x14ac:dyDescent="0.25">
      <c r="A38" s="131"/>
      <c r="B38" s="131"/>
      <c r="C38" s="137">
        <v>43811</v>
      </c>
      <c r="D38" s="134" t="s">
        <v>479</v>
      </c>
      <c r="E38" s="134" t="s">
        <v>480</v>
      </c>
      <c r="F38" s="134" t="s">
        <v>481</v>
      </c>
      <c r="G38" s="136">
        <v>192.92</v>
      </c>
      <c r="H38" s="136">
        <v>0</v>
      </c>
      <c r="I38" s="136">
        <v>1837.4</v>
      </c>
      <c r="J38" s="134" t="s">
        <v>359</v>
      </c>
      <c r="L38" s="1" t="s">
        <v>77</v>
      </c>
      <c r="N38" s="4"/>
    </row>
    <row r="39" spans="1:15" x14ac:dyDescent="0.25">
      <c r="A39" s="131"/>
      <c r="B39" s="131"/>
      <c r="C39" s="137">
        <v>43833</v>
      </c>
      <c r="D39" s="134" t="s">
        <v>445</v>
      </c>
      <c r="E39" s="134" t="s">
        <v>443</v>
      </c>
      <c r="F39" s="134" t="s">
        <v>482</v>
      </c>
      <c r="G39" s="136">
        <v>196.23</v>
      </c>
      <c r="H39" s="136">
        <v>0</v>
      </c>
      <c r="I39" s="136">
        <v>2033.63</v>
      </c>
      <c r="J39" s="134" t="s">
        <v>359</v>
      </c>
      <c r="K39" s="141" t="s">
        <v>1200</v>
      </c>
      <c r="L39" s="130" t="s">
        <v>108</v>
      </c>
      <c r="M39" s="150">
        <v>1832.98</v>
      </c>
      <c r="N39" s="4"/>
    </row>
    <row r="40" spans="1:15" x14ac:dyDescent="0.25">
      <c r="A40" s="131"/>
      <c r="B40" s="131"/>
      <c r="C40" s="137">
        <v>43864</v>
      </c>
      <c r="D40" s="134" t="s">
        <v>445</v>
      </c>
      <c r="E40" s="134" t="s">
        <v>409</v>
      </c>
      <c r="F40" s="134" t="s">
        <v>483</v>
      </c>
      <c r="G40" s="136">
        <v>195.63</v>
      </c>
      <c r="H40" s="136">
        <v>0</v>
      </c>
      <c r="I40" s="136">
        <v>2229.2600000000002</v>
      </c>
      <c r="J40" s="134" t="s">
        <v>359</v>
      </c>
      <c r="N40" s="4"/>
    </row>
    <row r="41" spans="1:15" x14ac:dyDescent="0.25">
      <c r="A41" s="131"/>
      <c r="B41" s="131"/>
      <c r="C41" s="137">
        <v>43893</v>
      </c>
      <c r="D41" s="134" t="s">
        <v>445</v>
      </c>
      <c r="E41" s="134" t="s">
        <v>484</v>
      </c>
      <c r="F41" s="134" t="s">
        <v>485</v>
      </c>
      <c r="G41" s="136">
        <v>194.68</v>
      </c>
      <c r="H41" s="136">
        <v>0</v>
      </c>
      <c r="I41" s="136">
        <v>2423.94</v>
      </c>
      <c r="J41" s="134" t="s">
        <v>359</v>
      </c>
      <c r="L41" s="1" t="s">
        <v>81</v>
      </c>
      <c r="N41" s="4"/>
    </row>
    <row r="42" spans="1:15" x14ac:dyDescent="0.25">
      <c r="A42" s="131"/>
      <c r="B42" s="131"/>
      <c r="C42" s="137">
        <v>43921</v>
      </c>
      <c r="D42" s="134" t="s">
        <v>486</v>
      </c>
      <c r="E42" s="134" t="s">
        <v>487</v>
      </c>
      <c r="F42" s="134" t="s">
        <v>488</v>
      </c>
      <c r="G42" s="138">
        <v>0</v>
      </c>
      <c r="H42" s="138">
        <v>69.81</v>
      </c>
      <c r="I42" s="136">
        <v>2354.13</v>
      </c>
      <c r="J42" s="134" t="s">
        <v>359</v>
      </c>
      <c r="K42" s="141" t="s">
        <v>897</v>
      </c>
      <c r="L42" s="130" t="s">
        <v>106</v>
      </c>
      <c r="M42" s="150">
        <v>1050.69</v>
      </c>
      <c r="N42" s="4"/>
    </row>
    <row r="43" spans="1:15" x14ac:dyDescent="0.25">
      <c r="A43" s="131"/>
      <c r="B43" s="131"/>
      <c r="C43" s="131"/>
      <c r="D43" s="131"/>
      <c r="E43" s="131"/>
      <c r="F43" s="131"/>
      <c r="G43" s="136">
        <f>SUBTOTAL(9,G28:G42)</f>
        <v>2451.33</v>
      </c>
      <c r="H43" s="136">
        <f>SUBTOTAL(9,H28:H42)</f>
        <v>97.2</v>
      </c>
      <c r="N43" s="4"/>
    </row>
    <row r="44" spans="1:15" x14ac:dyDescent="0.25">
      <c r="L44" s="1" t="s">
        <v>74</v>
      </c>
      <c r="N44" s="4"/>
    </row>
    <row r="45" spans="1:15" x14ac:dyDescent="0.25">
      <c r="A45" s="130" t="s">
        <v>489</v>
      </c>
      <c r="B45" s="130" t="s">
        <v>490</v>
      </c>
      <c r="C45" s="135"/>
      <c r="D45" s="135"/>
      <c r="E45" s="135"/>
      <c r="F45" s="135"/>
      <c r="G45" s="135"/>
      <c r="H45" s="135"/>
      <c r="I45" s="136">
        <v>0</v>
      </c>
      <c r="J45" s="134" t="s">
        <v>359</v>
      </c>
      <c r="K45" s="141" t="s">
        <v>1218</v>
      </c>
      <c r="L45" s="143" t="s">
        <v>1219</v>
      </c>
      <c r="M45" s="148">
        <f>3702.31-3355.03</f>
        <v>347.27999999999975</v>
      </c>
      <c r="N45" s="4"/>
    </row>
    <row r="46" spans="1:15" x14ac:dyDescent="0.25">
      <c r="A46" s="131"/>
      <c r="B46" s="131"/>
      <c r="C46" s="137">
        <v>43560</v>
      </c>
      <c r="D46" s="134" t="s">
        <v>491</v>
      </c>
      <c r="E46" s="134" t="s">
        <v>492</v>
      </c>
      <c r="F46" s="134" t="s">
        <v>493</v>
      </c>
      <c r="G46" s="136">
        <v>337.92</v>
      </c>
      <c r="H46" s="136">
        <v>0</v>
      </c>
      <c r="I46" s="136">
        <v>337.92</v>
      </c>
      <c r="J46" s="134" t="s">
        <v>359</v>
      </c>
      <c r="K46" s="141" t="s">
        <v>1246</v>
      </c>
      <c r="L46" s="130" t="s">
        <v>1247</v>
      </c>
      <c r="M46" s="146">
        <v>162.1</v>
      </c>
      <c r="N46" s="4"/>
    </row>
    <row r="47" spans="1:15" x14ac:dyDescent="0.25">
      <c r="A47" s="131"/>
      <c r="B47" s="131"/>
      <c r="C47" s="137">
        <v>43581</v>
      </c>
      <c r="D47" s="134" t="s">
        <v>491</v>
      </c>
      <c r="E47" s="134" t="s">
        <v>494</v>
      </c>
      <c r="F47" s="134" t="s">
        <v>495</v>
      </c>
      <c r="G47" s="136">
        <v>30.03</v>
      </c>
      <c r="H47" s="136">
        <v>0</v>
      </c>
      <c r="I47" s="136">
        <v>367.95</v>
      </c>
      <c r="J47" s="134" t="s">
        <v>359</v>
      </c>
      <c r="M47" s="147">
        <f>SUM(M45:M46)</f>
        <v>509.37999999999977</v>
      </c>
      <c r="N47" s="4"/>
    </row>
    <row r="48" spans="1:15" x14ac:dyDescent="0.25">
      <c r="A48" s="131"/>
      <c r="B48" s="131"/>
      <c r="C48" s="137">
        <v>43612</v>
      </c>
      <c r="D48" s="134" t="s">
        <v>491</v>
      </c>
      <c r="E48" s="134" t="s">
        <v>496</v>
      </c>
      <c r="F48" s="134" t="s">
        <v>497</v>
      </c>
      <c r="G48" s="136">
        <v>30.38</v>
      </c>
      <c r="H48" s="136">
        <v>0</v>
      </c>
      <c r="I48" s="136">
        <v>398.33</v>
      </c>
      <c r="J48" s="134" t="s">
        <v>359</v>
      </c>
      <c r="L48" t="s">
        <v>1291</v>
      </c>
      <c r="N48" s="4"/>
    </row>
    <row r="49" spans="1:16" x14ac:dyDescent="0.25">
      <c r="A49" s="131"/>
      <c r="B49" s="131"/>
      <c r="C49" s="137">
        <v>43642</v>
      </c>
      <c r="D49" s="134" t="s">
        <v>491</v>
      </c>
      <c r="E49" s="134" t="s">
        <v>498</v>
      </c>
      <c r="F49" s="134" t="s">
        <v>499</v>
      </c>
      <c r="G49" s="136">
        <v>38.11</v>
      </c>
      <c r="H49" s="136">
        <v>0</v>
      </c>
      <c r="I49" s="136">
        <v>436.44</v>
      </c>
      <c r="J49" s="134" t="s">
        <v>359</v>
      </c>
      <c r="K49" s="141" t="s">
        <v>682</v>
      </c>
      <c r="L49" s="130" t="s">
        <v>683</v>
      </c>
      <c r="M49" s="150">
        <v>8732.24</v>
      </c>
      <c r="N49" s="4"/>
    </row>
    <row r="50" spans="1:16" x14ac:dyDescent="0.25">
      <c r="A50" s="131"/>
      <c r="B50" s="131"/>
      <c r="C50" s="137">
        <v>43651</v>
      </c>
      <c r="D50" s="134" t="s">
        <v>491</v>
      </c>
      <c r="E50" s="134" t="s">
        <v>500</v>
      </c>
      <c r="F50" s="134" t="s">
        <v>501</v>
      </c>
      <c r="G50" s="136">
        <v>337.92</v>
      </c>
      <c r="H50" s="136">
        <v>0</v>
      </c>
      <c r="I50" s="136">
        <v>774.36</v>
      </c>
      <c r="J50" s="134" t="s">
        <v>359</v>
      </c>
      <c r="N50" s="4"/>
    </row>
    <row r="51" spans="1:16" x14ac:dyDescent="0.25">
      <c r="A51" s="131"/>
      <c r="B51" s="131"/>
      <c r="C51" s="137">
        <v>43672</v>
      </c>
      <c r="D51" s="134" t="s">
        <v>491</v>
      </c>
      <c r="E51" s="134" t="s">
        <v>502</v>
      </c>
      <c r="F51" s="134" t="s">
        <v>503</v>
      </c>
      <c r="G51" s="136">
        <v>37.159999999999997</v>
      </c>
      <c r="H51" s="136">
        <v>0</v>
      </c>
      <c r="I51" s="136">
        <v>811.52</v>
      </c>
      <c r="J51" s="134" t="s">
        <v>359</v>
      </c>
      <c r="L51" t="s">
        <v>1293</v>
      </c>
      <c r="N51" s="4"/>
    </row>
    <row r="52" spans="1:16" x14ac:dyDescent="0.25">
      <c r="A52" s="131"/>
      <c r="B52" s="131"/>
      <c r="C52" s="137">
        <v>43704</v>
      </c>
      <c r="D52" s="134" t="s">
        <v>504</v>
      </c>
      <c r="E52" s="134" t="s">
        <v>505</v>
      </c>
      <c r="F52" s="134" t="s">
        <v>506</v>
      </c>
      <c r="G52" s="136">
        <v>37.31</v>
      </c>
      <c r="H52" s="136">
        <v>0</v>
      </c>
      <c r="I52" s="136">
        <v>848.83</v>
      </c>
      <c r="J52" s="134" t="s">
        <v>359</v>
      </c>
      <c r="K52" s="141" t="s">
        <v>1196</v>
      </c>
      <c r="L52" s="130" t="s">
        <v>1292</v>
      </c>
      <c r="M52" s="147">
        <v>3355.03</v>
      </c>
      <c r="N52" s="4">
        <v>4300</v>
      </c>
    </row>
    <row r="53" spans="1:16" x14ac:dyDescent="0.25">
      <c r="A53" s="131"/>
      <c r="B53" s="131"/>
      <c r="C53" s="137">
        <v>43734</v>
      </c>
      <c r="D53" s="134" t="s">
        <v>491</v>
      </c>
      <c r="E53" s="134" t="s">
        <v>507</v>
      </c>
      <c r="F53" s="134" t="s">
        <v>508</v>
      </c>
      <c r="G53" s="136">
        <v>36.75</v>
      </c>
      <c r="H53" s="136">
        <v>0</v>
      </c>
      <c r="I53" s="136">
        <v>885.58</v>
      </c>
      <c r="J53" s="134" t="s">
        <v>359</v>
      </c>
      <c r="N53" s="4"/>
    </row>
    <row r="54" spans="1:16" x14ac:dyDescent="0.25">
      <c r="A54" s="131"/>
      <c r="B54" s="131"/>
      <c r="C54" s="137">
        <v>43742</v>
      </c>
      <c r="D54" s="134" t="s">
        <v>491</v>
      </c>
      <c r="E54" s="134" t="s">
        <v>509</v>
      </c>
      <c r="F54" s="134" t="s">
        <v>510</v>
      </c>
      <c r="G54" s="136">
        <v>337.92</v>
      </c>
      <c r="H54" s="136">
        <v>0</v>
      </c>
      <c r="I54" s="136">
        <v>1223.5</v>
      </c>
      <c r="J54" s="134" t="s">
        <v>359</v>
      </c>
      <c r="L54" t="s">
        <v>96</v>
      </c>
      <c r="N54" s="4"/>
    </row>
    <row r="55" spans="1:16" x14ac:dyDescent="0.25">
      <c r="A55" s="131"/>
      <c r="B55" s="131"/>
      <c r="C55" s="137">
        <v>43766</v>
      </c>
      <c r="D55" s="134" t="s">
        <v>491</v>
      </c>
      <c r="E55" s="134" t="s">
        <v>511</v>
      </c>
      <c r="F55" s="134" t="s">
        <v>512</v>
      </c>
      <c r="G55" s="136">
        <v>34.82</v>
      </c>
      <c r="H55" s="136">
        <v>0</v>
      </c>
      <c r="I55" s="136">
        <v>1258.32</v>
      </c>
      <c r="J55" s="134" t="s">
        <v>359</v>
      </c>
      <c r="K55" s="141" t="s">
        <v>725</v>
      </c>
      <c r="L55" s="130" t="s">
        <v>726</v>
      </c>
      <c r="M55" s="146">
        <v>14679.5</v>
      </c>
      <c r="N55" s="4">
        <v>20000</v>
      </c>
      <c r="O55" s="4">
        <v>20000</v>
      </c>
    </row>
    <row r="56" spans="1:16" x14ac:dyDescent="0.25">
      <c r="A56" s="131"/>
      <c r="B56" s="131"/>
      <c r="C56" s="137">
        <v>43826</v>
      </c>
      <c r="D56" s="134" t="s">
        <v>491</v>
      </c>
      <c r="E56" s="134" t="s">
        <v>513</v>
      </c>
      <c r="F56" s="134" t="s">
        <v>514</v>
      </c>
      <c r="G56" s="136">
        <v>27.33</v>
      </c>
      <c r="H56" s="136">
        <v>0</v>
      </c>
      <c r="I56" s="136">
        <v>1285.6500000000001</v>
      </c>
      <c r="J56" s="134" t="s">
        <v>359</v>
      </c>
      <c r="K56" s="141" t="s">
        <v>730</v>
      </c>
      <c r="L56" s="130" t="s">
        <v>731</v>
      </c>
      <c r="M56" s="146">
        <v>42086.22</v>
      </c>
      <c r="N56" s="165">
        <v>45000</v>
      </c>
      <c r="O56" s="4">
        <v>10000</v>
      </c>
      <c r="P56" t="s">
        <v>1330</v>
      </c>
    </row>
    <row r="57" spans="1:16" x14ac:dyDescent="0.25">
      <c r="A57" s="131"/>
      <c r="B57" s="131"/>
      <c r="C57" s="137">
        <v>43833</v>
      </c>
      <c r="D57" s="134" t="s">
        <v>491</v>
      </c>
      <c r="E57" s="134" t="s">
        <v>515</v>
      </c>
      <c r="F57" s="134" t="s">
        <v>516</v>
      </c>
      <c r="G57" s="136">
        <v>337.92</v>
      </c>
      <c r="H57" s="136">
        <v>0</v>
      </c>
      <c r="I57" s="136">
        <v>1623.57</v>
      </c>
      <c r="J57" s="134" t="s">
        <v>359</v>
      </c>
      <c r="K57" s="141" t="s">
        <v>774</v>
      </c>
      <c r="L57" s="130" t="s">
        <v>775</v>
      </c>
      <c r="M57" s="146">
        <v>187</v>
      </c>
      <c r="N57" s="162">
        <v>6000</v>
      </c>
      <c r="O57" s="4">
        <v>1000</v>
      </c>
      <c r="P57" t="s">
        <v>1329</v>
      </c>
    </row>
    <row r="58" spans="1:16" x14ac:dyDescent="0.25">
      <c r="A58" s="131"/>
      <c r="B58" s="131"/>
      <c r="C58" s="137">
        <v>43857</v>
      </c>
      <c r="D58" s="134" t="s">
        <v>491</v>
      </c>
      <c r="E58" s="134" t="s">
        <v>517</v>
      </c>
      <c r="F58" s="134" t="s">
        <v>518</v>
      </c>
      <c r="G58" s="136">
        <v>35.409999999999997</v>
      </c>
      <c r="H58" s="136">
        <v>0</v>
      </c>
      <c r="I58" s="136">
        <v>1658.98</v>
      </c>
      <c r="J58" s="134" t="s">
        <v>359</v>
      </c>
      <c r="M58" s="147">
        <f>SUM(M55:M57)</f>
        <v>56952.72</v>
      </c>
      <c r="N58" s="164">
        <f>SUM(N55:N57)</f>
        <v>71000</v>
      </c>
      <c r="O58" s="164">
        <f>SUM(O55:O57)</f>
        <v>31000</v>
      </c>
    </row>
    <row r="59" spans="1:16" x14ac:dyDescent="0.25">
      <c r="A59" s="131"/>
      <c r="B59" s="131"/>
      <c r="C59" s="137">
        <v>43887</v>
      </c>
      <c r="D59" s="134" t="s">
        <v>491</v>
      </c>
      <c r="E59" s="134" t="s">
        <v>519</v>
      </c>
      <c r="F59" s="134" t="s">
        <v>520</v>
      </c>
      <c r="G59" s="136">
        <v>33.14</v>
      </c>
      <c r="H59" s="136">
        <v>0</v>
      </c>
      <c r="I59" s="136">
        <v>1692.12</v>
      </c>
      <c r="J59" s="134" t="s">
        <v>359</v>
      </c>
      <c r="L59" s="131" t="s">
        <v>47</v>
      </c>
      <c r="N59" s="4"/>
    </row>
    <row r="60" spans="1:16" x14ac:dyDescent="0.25">
      <c r="A60" s="131"/>
      <c r="B60" s="131"/>
      <c r="C60" s="137">
        <v>43916</v>
      </c>
      <c r="D60" s="134" t="s">
        <v>521</v>
      </c>
      <c r="E60" s="134" t="s">
        <v>522</v>
      </c>
      <c r="F60" s="134" t="s">
        <v>523</v>
      </c>
      <c r="G60" s="138">
        <v>27.65</v>
      </c>
      <c r="H60" s="138">
        <v>0</v>
      </c>
      <c r="I60" s="136">
        <v>1719.77</v>
      </c>
      <c r="J60" s="134" t="s">
        <v>359</v>
      </c>
      <c r="K60" s="141" t="s">
        <v>779</v>
      </c>
      <c r="L60" s="130" t="s">
        <v>780</v>
      </c>
      <c r="M60" s="146">
        <v>3628.13</v>
      </c>
      <c r="N60" s="4">
        <v>3600</v>
      </c>
      <c r="O60" s="125">
        <v>3700</v>
      </c>
    </row>
    <row r="61" spans="1:16" x14ac:dyDescent="0.25">
      <c r="A61" s="131"/>
      <c r="B61" s="131"/>
      <c r="C61" s="131"/>
      <c r="D61" s="131"/>
      <c r="E61" s="131"/>
      <c r="F61" s="131"/>
      <c r="G61" s="136">
        <f>SUBTOTAL(9,G46:G60)</f>
        <v>1719.7700000000004</v>
      </c>
      <c r="H61" s="136">
        <f>SUBTOTAL(9,H46:H60)</f>
        <v>0</v>
      </c>
      <c r="K61" s="141" t="s">
        <v>545</v>
      </c>
      <c r="L61" s="130" t="s">
        <v>546</v>
      </c>
      <c r="N61" s="4"/>
    </row>
    <row r="62" spans="1:16" x14ac:dyDescent="0.25">
      <c r="N62" s="4"/>
    </row>
    <row r="63" spans="1:16" x14ac:dyDescent="0.25">
      <c r="A63" s="130" t="s">
        <v>524</v>
      </c>
      <c r="B63" s="130" t="s">
        <v>525</v>
      </c>
      <c r="C63" s="135"/>
      <c r="D63" s="135"/>
      <c r="E63" s="135"/>
      <c r="F63" s="135"/>
      <c r="G63" s="135"/>
      <c r="H63" s="135"/>
      <c r="I63" s="136">
        <v>0</v>
      </c>
      <c r="J63" s="134" t="s">
        <v>359</v>
      </c>
      <c r="L63" t="s">
        <v>1245</v>
      </c>
      <c r="N63" s="4"/>
    </row>
    <row r="64" spans="1:16" x14ac:dyDescent="0.25">
      <c r="A64" s="131"/>
      <c r="B64" s="131"/>
      <c r="C64" s="137">
        <v>43644</v>
      </c>
      <c r="D64" s="134" t="s">
        <v>526</v>
      </c>
      <c r="E64" s="134" t="s">
        <v>420</v>
      </c>
      <c r="F64" s="134" t="s">
        <v>527</v>
      </c>
      <c r="G64" s="136">
        <v>1277.0999999999999</v>
      </c>
      <c r="H64" s="136">
        <v>0</v>
      </c>
      <c r="I64" s="136">
        <v>1277.0999999999999</v>
      </c>
      <c r="J64" s="134" t="s">
        <v>359</v>
      </c>
      <c r="K64" s="141" t="s">
        <v>1244</v>
      </c>
      <c r="L64" s="130" t="s">
        <v>1245</v>
      </c>
      <c r="M64" s="163">
        <v>0</v>
      </c>
      <c r="N64" s="4">
        <v>0</v>
      </c>
      <c r="O64" s="97">
        <v>1200</v>
      </c>
    </row>
    <row r="65" spans="1:15" x14ac:dyDescent="0.25">
      <c r="A65" s="131"/>
      <c r="B65" s="131"/>
      <c r="C65" s="137">
        <v>43703</v>
      </c>
      <c r="D65" s="134" t="s">
        <v>528</v>
      </c>
      <c r="E65" s="134" t="s">
        <v>529</v>
      </c>
      <c r="F65" s="134" t="s">
        <v>530</v>
      </c>
      <c r="G65" s="138">
        <v>350</v>
      </c>
      <c r="H65" s="138">
        <v>0</v>
      </c>
      <c r="I65" s="136">
        <v>1627.1</v>
      </c>
      <c r="J65" s="134" t="s">
        <v>359</v>
      </c>
      <c r="N65" s="4"/>
    </row>
    <row r="66" spans="1:15" x14ac:dyDescent="0.25">
      <c r="A66" s="131"/>
      <c r="B66" s="131"/>
      <c r="C66" s="131"/>
      <c r="D66" s="131"/>
      <c r="E66" s="131"/>
      <c r="F66" s="131"/>
      <c r="G66" s="136">
        <f>SUBTOTAL(9,G64:G65)</f>
        <v>1627.1</v>
      </c>
      <c r="H66" s="136">
        <f>SUBTOTAL(9,H64:H65)</f>
        <v>0</v>
      </c>
      <c r="L66" t="s">
        <v>1256</v>
      </c>
      <c r="N66" s="4"/>
    </row>
    <row r="67" spans="1:15" x14ac:dyDescent="0.25">
      <c r="K67" s="141" t="s">
        <v>1255</v>
      </c>
      <c r="L67" s="130" t="s">
        <v>1256</v>
      </c>
      <c r="M67" s="146">
        <v>-121750.39999999999</v>
      </c>
      <c r="N67" s="4">
        <v>16</v>
      </c>
      <c r="O67" s="146">
        <v>-121750.39999999999</v>
      </c>
    </row>
    <row r="68" spans="1:15" x14ac:dyDescent="0.25">
      <c r="A68" s="130" t="s">
        <v>531</v>
      </c>
      <c r="B68" s="130" t="s">
        <v>532</v>
      </c>
      <c r="C68" s="135"/>
      <c r="D68" s="135"/>
      <c r="E68" s="135"/>
      <c r="F68" s="135"/>
      <c r="G68" s="135"/>
      <c r="H68" s="135"/>
      <c r="I68" s="136">
        <v>0</v>
      </c>
      <c r="J68" s="134" t="s">
        <v>359</v>
      </c>
    </row>
    <row r="70" spans="1:15" x14ac:dyDescent="0.25">
      <c r="A70" s="130" t="s">
        <v>533</v>
      </c>
      <c r="B70" s="130" t="s">
        <v>534</v>
      </c>
      <c r="C70" s="135"/>
      <c r="D70" s="135"/>
      <c r="E70" s="135"/>
      <c r="F70" s="135"/>
      <c r="G70" s="135"/>
      <c r="H70" s="135"/>
      <c r="I70" s="136">
        <v>0</v>
      </c>
      <c r="J70" s="134" t="s">
        <v>359</v>
      </c>
      <c r="K70" s="141" t="s">
        <v>783</v>
      </c>
      <c r="L70" s="130" t="s">
        <v>784</v>
      </c>
      <c r="M70" s="146">
        <v>2029.09</v>
      </c>
      <c r="N70" t="s">
        <v>1288</v>
      </c>
    </row>
    <row r="71" spans="1:15" x14ac:dyDescent="0.25">
      <c r="A71" s="131"/>
      <c r="B71" s="131"/>
      <c r="C71" s="137">
        <v>43861</v>
      </c>
      <c r="D71" s="134" t="s">
        <v>535</v>
      </c>
      <c r="E71" s="134" t="s">
        <v>443</v>
      </c>
      <c r="F71" s="134" t="s">
        <v>536</v>
      </c>
      <c r="G71" s="136">
        <v>18.690000000000001</v>
      </c>
      <c r="H71" s="136">
        <v>0</v>
      </c>
      <c r="I71" s="136">
        <v>18.690000000000001</v>
      </c>
      <c r="J71" s="134" t="s">
        <v>359</v>
      </c>
      <c r="K71" s="141" t="s">
        <v>533</v>
      </c>
      <c r="L71" s="130" t="s">
        <v>534</v>
      </c>
      <c r="M71" s="146">
        <v>18.690000000000001</v>
      </c>
      <c r="N71" s="135" t="s">
        <v>1278</v>
      </c>
    </row>
    <row r="72" spans="1:15" x14ac:dyDescent="0.25">
      <c r="K72" s="141" t="s">
        <v>537</v>
      </c>
      <c r="L72" s="130" t="s">
        <v>538</v>
      </c>
      <c r="M72" s="146">
        <v>145.75</v>
      </c>
      <c r="N72" t="s">
        <v>1278</v>
      </c>
    </row>
    <row r="73" spans="1:15" x14ac:dyDescent="0.25">
      <c r="A73" s="130" t="s">
        <v>537</v>
      </c>
      <c r="B73" s="130" t="s">
        <v>538</v>
      </c>
      <c r="C73" s="135"/>
      <c r="D73" s="135"/>
      <c r="E73" s="135"/>
      <c r="F73" s="135"/>
      <c r="G73" s="135"/>
      <c r="H73" s="135"/>
      <c r="I73" s="136">
        <v>0</v>
      </c>
      <c r="J73" s="134" t="s">
        <v>359</v>
      </c>
      <c r="K73" s="141" t="s">
        <v>545</v>
      </c>
      <c r="L73" s="130" t="s">
        <v>546</v>
      </c>
      <c r="M73" s="136">
        <v>66148.88</v>
      </c>
      <c r="N73" t="s">
        <v>1278</v>
      </c>
    </row>
    <row r="74" spans="1:15" x14ac:dyDescent="0.25">
      <c r="A74" s="131"/>
      <c r="B74" s="131"/>
      <c r="C74" s="137">
        <v>43687</v>
      </c>
      <c r="D74" s="134" t="s">
        <v>539</v>
      </c>
      <c r="E74" s="134" t="s">
        <v>540</v>
      </c>
      <c r="F74" s="134" t="s">
        <v>541</v>
      </c>
      <c r="G74" s="136">
        <v>101.75</v>
      </c>
      <c r="H74" s="136">
        <v>0</v>
      </c>
      <c r="I74" s="136">
        <v>101.75</v>
      </c>
      <c r="J74" s="134" t="s">
        <v>359</v>
      </c>
      <c r="K74" s="141" t="s">
        <v>785</v>
      </c>
      <c r="L74" s="130" t="s">
        <v>786</v>
      </c>
      <c r="M74" s="146">
        <v>1301.1500000000001</v>
      </c>
      <c r="N74" t="s">
        <v>1278</v>
      </c>
    </row>
    <row r="75" spans="1:15" x14ac:dyDescent="0.25">
      <c r="A75" s="131"/>
      <c r="B75" s="131"/>
      <c r="C75" s="137">
        <v>43760</v>
      </c>
      <c r="D75" s="134" t="s">
        <v>542</v>
      </c>
      <c r="E75" s="134" t="s">
        <v>543</v>
      </c>
      <c r="F75" s="134" t="s">
        <v>544</v>
      </c>
      <c r="G75" s="138">
        <v>44</v>
      </c>
      <c r="H75" s="138">
        <v>0</v>
      </c>
      <c r="I75" s="136">
        <v>145.75</v>
      </c>
      <c r="J75" s="134" t="s">
        <v>359</v>
      </c>
      <c r="K75" s="141" t="s">
        <v>941</v>
      </c>
      <c r="L75" s="130" t="s">
        <v>942</v>
      </c>
      <c r="M75" s="146">
        <v>2086.92</v>
      </c>
      <c r="N75" t="s">
        <v>1278</v>
      </c>
    </row>
    <row r="76" spans="1:15" x14ac:dyDescent="0.25">
      <c r="A76" s="131"/>
      <c r="B76" s="131"/>
      <c r="C76" s="131"/>
      <c r="D76" s="131"/>
      <c r="E76" s="131"/>
      <c r="F76" s="131"/>
      <c r="G76" s="136">
        <f>SUBTOTAL(9,G74:G75)</f>
        <v>145.75</v>
      </c>
      <c r="H76" s="136">
        <f>SUBTOTAL(9,H74:H75)</f>
        <v>0</v>
      </c>
      <c r="K76" s="141" t="s">
        <v>799</v>
      </c>
      <c r="L76" s="130" t="s">
        <v>800</v>
      </c>
      <c r="M76" s="146">
        <v>1394.75</v>
      </c>
      <c r="N76" t="s">
        <v>1289</v>
      </c>
    </row>
    <row r="78" spans="1:15" x14ac:dyDescent="0.25">
      <c r="A78" s="130" t="s">
        <v>545</v>
      </c>
      <c r="B78" s="130" t="s">
        <v>546</v>
      </c>
      <c r="C78" s="135"/>
      <c r="D78" s="135"/>
      <c r="E78" s="135"/>
      <c r="F78" s="135"/>
      <c r="G78" s="135"/>
      <c r="H78" s="135"/>
      <c r="I78" s="136">
        <v>0</v>
      </c>
      <c r="J78" s="134" t="s">
        <v>359</v>
      </c>
    </row>
    <row r="79" spans="1:15" x14ac:dyDescent="0.25">
      <c r="A79" s="131"/>
      <c r="B79" s="131"/>
      <c r="C79" s="137">
        <v>43585</v>
      </c>
      <c r="D79" s="134" t="s">
        <v>547</v>
      </c>
      <c r="E79" s="134" t="s">
        <v>418</v>
      </c>
      <c r="F79" s="134" t="s">
        <v>548</v>
      </c>
      <c r="G79" s="136">
        <v>41.78</v>
      </c>
      <c r="H79" s="136">
        <v>0</v>
      </c>
      <c r="I79" s="136">
        <v>41.78</v>
      </c>
      <c r="J79" s="134" t="s">
        <v>359</v>
      </c>
    </row>
    <row r="80" spans="1:15" x14ac:dyDescent="0.25">
      <c r="A80" s="131"/>
      <c r="B80" s="131"/>
      <c r="C80" s="137">
        <v>43588</v>
      </c>
      <c r="D80" s="134" t="s">
        <v>549</v>
      </c>
      <c r="E80" s="134" t="s">
        <v>550</v>
      </c>
      <c r="F80" s="134" t="s">
        <v>551</v>
      </c>
      <c r="G80" s="136">
        <v>145.76</v>
      </c>
      <c r="H80" s="136">
        <v>0</v>
      </c>
      <c r="I80" s="136">
        <v>187.54</v>
      </c>
      <c r="J80" s="134" t="s">
        <v>359</v>
      </c>
    </row>
    <row r="81" spans="1:10" x14ac:dyDescent="0.25">
      <c r="A81" s="131"/>
      <c r="B81" s="131"/>
      <c r="C81" s="137">
        <v>43601</v>
      </c>
      <c r="D81" s="134" t="s">
        <v>552</v>
      </c>
      <c r="E81" s="134" t="s">
        <v>553</v>
      </c>
      <c r="F81" s="134" t="s">
        <v>554</v>
      </c>
      <c r="G81" s="136">
        <v>495</v>
      </c>
      <c r="H81" s="136">
        <v>0</v>
      </c>
      <c r="I81" s="136">
        <v>682.54</v>
      </c>
      <c r="J81" s="134" t="s">
        <v>359</v>
      </c>
    </row>
    <row r="82" spans="1:10" x14ac:dyDescent="0.25">
      <c r="A82" s="131"/>
      <c r="B82" s="131"/>
      <c r="C82" s="137">
        <v>43607</v>
      </c>
      <c r="D82" s="134" t="s">
        <v>549</v>
      </c>
      <c r="E82" s="134" t="s">
        <v>555</v>
      </c>
      <c r="F82" s="134" t="s">
        <v>556</v>
      </c>
      <c r="G82" s="136">
        <v>18.309999999999999</v>
      </c>
      <c r="H82" s="136">
        <v>0</v>
      </c>
      <c r="I82" s="136">
        <v>700.85</v>
      </c>
      <c r="J82" s="134" t="s">
        <v>359</v>
      </c>
    </row>
    <row r="83" spans="1:10" x14ac:dyDescent="0.25">
      <c r="A83" s="131"/>
      <c r="B83" s="131"/>
      <c r="C83" s="137">
        <v>43616</v>
      </c>
      <c r="D83" s="134" t="s">
        <v>557</v>
      </c>
      <c r="E83" s="134" t="s">
        <v>464</v>
      </c>
      <c r="F83" s="134" t="s">
        <v>558</v>
      </c>
      <c r="G83" s="136">
        <v>101.51</v>
      </c>
      <c r="H83" s="136">
        <v>0</v>
      </c>
      <c r="I83" s="136">
        <v>802.36</v>
      </c>
      <c r="J83" s="134" t="s">
        <v>359</v>
      </c>
    </row>
    <row r="84" spans="1:10" x14ac:dyDescent="0.25">
      <c r="A84" s="131"/>
      <c r="B84" s="131"/>
      <c r="C84" s="137">
        <v>43621</v>
      </c>
      <c r="D84" s="134" t="s">
        <v>559</v>
      </c>
      <c r="E84" s="134" t="s">
        <v>560</v>
      </c>
      <c r="F84" s="134" t="s">
        <v>561</v>
      </c>
      <c r="G84" s="136">
        <v>2785.75</v>
      </c>
      <c r="H84" s="136">
        <v>0</v>
      </c>
      <c r="I84" s="136">
        <v>3588.11</v>
      </c>
      <c r="J84" s="134" t="s">
        <v>359</v>
      </c>
    </row>
    <row r="85" spans="1:10" x14ac:dyDescent="0.25">
      <c r="A85" s="131"/>
      <c r="B85" s="131"/>
      <c r="C85" s="137">
        <v>43644</v>
      </c>
      <c r="D85" s="134" t="s">
        <v>549</v>
      </c>
      <c r="E85" s="134" t="s">
        <v>562</v>
      </c>
      <c r="F85" s="134" t="s">
        <v>563</v>
      </c>
      <c r="G85" s="136">
        <v>146.11000000000001</v>
      </c>
      <c r="H85" s="136">
        <v>0</v>
      </c>
      <c r="I85" s="136">
        <v>3734.22</v>
      </c>
      <c r="J85" s="134" t="s">
        <v>359</v>
      </c>
    </row>
    <row r="86" spans="1:10" x14ac:dyDescent="0.25">
      <c r="A86" s="131"/>
      <c r="B86" s="131"/>
      <c r="C86" s="137">
        <v>43646</v>
      </c>
      <c r="D86" s="134" t="s">
        <v>535</v>
      </c>
      <c r="E86" s="134" t="s">
        <v>420</v>
      </c>
      <c r="F86" s="134" t="s">
        <v>564</v>
      </c>
      <c r="G86" s="136">
        <v>275.27999999999997</v>
      </c>
      <c r="H86" s="136">
        <v>0</v>
      </c>
      <c r="I86" s="136">
        <v>4009.5</v>
      </c>
      <c r="J86" s="134" t="s">
        <v>359</v>
      </c>
    </row>
    <row r="87" spans="1:10" x14ac:dyDescent="0.25">
      <c r="A87" s="131"/>
      <c r="B87" s="131"/>
      <c r="C87" s="137">
        <v>43663</v>
      </c>
      <c r="D87" s="134" t="s">
        <v>549</v>
      </c>
      <c r="E87" s="134" t="s">
        <v>565</v>
      </c>
      <c r="F87" s="134" t="s">
        <v>566</v>
      </c>
      <c r="G87" s="136">
        <v>17.75</v>
      </c>
      <c r="H87" s="136">
        <v>0</v>
      </c>
      <c r="I87" s="136">
        <v>4027.25</v>
      </c>
      <c r="J87" s="134" t="s">
        <v>359</v>
      </c>
    </row>
    <row r="88" spans="1:10" x14ac:dyDescent="0.25">
      <c r="A88" s="131"/>
      <c r="B88" s="131"/>
      <c r="C88" s="137">
        <v>43665</v>
      </c>
      <c r="D88" s="134" t="s">
        <v>549</v>
      </c>
      <c r="E88" s="134" t="s">
        <v>567</v>
      </c>
      <c r="F88" s="134" t="s">
        <v>568</v>
      </c>
      <c r="G88" s="136">
        <v>51.69</v>
      </c>
      <c r="H88" s="136">
        <v>0</v>
      </c>
      <c r="I88" s="136">
        <v>4078.94</v>
      </c>
      <c r="J88" s="134" t="s">
        <v>359</v>
      </c>
    </row>
    <row r="89" spans="1:10" x14ac:dyDescent="0.25">
      <c r="A89" s="131"/>
      <c r="B89" s="131"/>
      <c r="C89" s="137">
        <v>43677</v>
      </c>
      <c r="D89" s="134" t="s">
        <v>569</v>
      </c>
      <c r="E89" s="134" t="s">
        <v>422</v>
      </c>
      <c r="F89" s="134" t="s">
        <v>570</v>
      </c>
      <c r="G89" s="136">
        <v>208.43</v>
      </c>
      <c r="H89" s="136">
        <v>0</v>
      </c>
      <c r="I89" s="136">
        <v>4287.37</v>
      </c>
      <c r="J89" s="134" t="s">
        <v>359</v>
      </c>
    </row>
    <row r="90" spans="1:10" x14ac:dyDescent="0.25">
      <c r="A90" s="131"/>
      <c r="B90" s="131"/>
      <c r="C90" s="137">
        <v>43677</v>
      </c>
      <c r="D90" s="134" t="s">
        <v>571</v>
      </c>
      <c r="E90" s="134" t="s">
        <v>572</v>
      </c>
      <c r="F90" s="134" t="s">
        <v>573</v>
      </c>
      <c r="G90" s="136">
        <v>38.450000000000003</v>
      </c>
      <c r="H90" s="136">
        <v>0</v>
      </c>
      <c r="I90" s="136">
        <v>4325.82</v>
      </c>
      <c r="J90" s="134" t="s">
        <v>359</v>
      </c>
    </row>
    <row r="91" spans="1:10" x14ac:dyDescent="0.25">
      <c r="A91" s="131"/>
      <c r="B91" s="131"/>
      <c r="C91" s="137">
        <v>43678</v>
      </c>
      <c r="D91" s="134" t="s">
        <v>549</v>
      </c>
      <c r="E91" s="134" t="s">
        <v>574</v>
      </c>
      <c r="F91" s="134" t="s">
        <v>575</v>
      </c>
      <c r="G91" s="136">
        <v>98.5</v>
      </c>
      <c r="H91" s="136">
        <v>0</v>
      </c>
      <c r="I91" s="136">
        <v>4424.32</v>
      </c>
      <c r="J91" s="134" t="s">
        <v>359</v>
      </c>
    </row>
    <row r="92" spans="1:10" x14ac:dyDescent="0.25">
      <c r="A92" s="131"/>
      <c r="B92" s="131"/>
      <c r="C92" s="137">
        <v>43684</v>
      </c>
      <c r="D92" s="134" t="s">
        <v>576</v>
      </c>
      <c r="E92" s="134" t="s">
        <v>365</v>
      </c>
      <c r="F92" s="134" t="s">
        <v>577</v>
      </c>
      <c r="G92" s="136">
        <v>32.18</v>
      </c>
      <c r="H92" s="136">
        <v>0</v>
      </c>
      <c r="I92" s="136">
        <v>4456.5</v>
      </c>
      <c r="J92" s="134" t="s">
        <v>359</v>
      </c>
    </row>
    <row r="93" spans="1:10" x14ac:dyDescent="0.25">
      <c r="A93" s="131"/>
      <c r="B93" s="131"/>
      <c r="C93" s="137">
        <v>43697</v>
      </c>
      <c r="D93" s="134" t="s">
        <v>549</v>
      </c>
      <c r="E93" s="134" t="s">
        <v>578</v>
      </c>
      <c r="F93" s="134" t="s">
        <v>579</v>
      </c>
      <c r="G93" s="136">
        <v>76.03</v>
      </c>
      <c r="H93" s="136">
        <v>0</v>
      </c>
      <c r="I93" s="136">
        <v>4532.53</v>
      </c>
      <c r="J93" s="134" t="s">
        <v>359</v>
      </c>
    </row>
    <row r="94" spans="1:10" x14ac:dyDescent="0.25">
      <c r="A94" s="131"/>
      <c r="B94" s="131"/>
      <c r="C94" s="137">
        <v>43699</v>
      </c>
      <c r="D94" s="134" t="s">
        <v>549</v>
      </c>
      <c r="E94" s="134" t="s">
        <v>580</v>
      </c>
      <c r="F94" s="134" t="s">
        <v>581</v>
      </c>
      <c r="G94" s="136">
        <v>16.59</v>
      </c>
      <c r="H94" s="136">
        <v>0</v>
      </c>
      <c r="I94" s="136">
        <v>4549.12</v>
      </c>
      <c r="J94" s="134" t="s">
        <v>359</v>
      </c>
    </row>
    <row r="95" spans="1:10" x14ac:dyDescent="0.25">
      <c r="A95" s="131"/>
      <c r="B95" s="131"/>
      <c r="C95" s="137">
        <v>43703</v>
      </c>
      <c r="D95" s="134" t="s">
        <v>549</v>
      </c>
      <c r="E95" s="134" t="s">
        <v>582</v>
      </c>
      <c r="F95" s="134" t="s">
        <v>583</v>
      </c>
      <c r="G95" s="136">
        <v>12.52</v>
      </c>
      <c r="H95" s="136">
        <v>0</v>
      </c>
      <c r="I95" s="136">
        <v>4561.6400000000003</v>
      </c>
      <c r="J95" s="134" t="s">
        <v>359</v>
      </c>
    </row>
    <row r="96" spans="1:10" x14ac:dyDescent="0.25">
      <c r="A96" s="131"/>
      <c r="B96" s="131"/>
      <c r="C96" s="137">
        <v>43703</v>
      </c>
      <c r="D96" s="134" t="s">
        <v>549</v>
      </c>
      <c r="E96" s="134" t="s">
        <v>584</v>
      </c>
      <c r="F96" s="134" t="s">
        <v>585</v>
      </c>
      <c r="G96" s="136">
        <v>66.78</v>
      </c>
      <c r="H96" s="136">
        <v>0</v>
      </c>
      <c r="I96" s="136">
        <v>4628.42</v>
      </c>
      <c r="J96" s="134" t="s">
        <v>359</v>
      </c>
    </row>
    <row r="97" spans="1:10" x14ac:dyDescent="0.25">
      <c r="A97" s="131"/>
      <c r="B97" s="131"/>
      <c r="C97" s="137">
        <v>43708</v>
      </c>
      <c r="D97" s="134" t="s">
        <v>586</v>
      </c>
      <c r="E97" s="134" t="s">
        <v>529</v>
      </c>
      <c r="F97" s="134" t="s">
        <v>587</v>
      </c>
      <c r="G97" s="136">
        <v>16.47</v>
      </c>
      <c r="H97" s="136">
        <v>0</v>
      </c>
      <c r="I97" s="136">
        <v>4644.8900000000003</v>
      </c>
      <c r="J97" s="134" t="s">
        <v>359</v>
      </c>
    </row>
    <row r="98" spans="1:10" x14ac:dyDescent="0.25">
      <c r="A98" s="131"/>
      <c r="B98" s="131"/>
      <c r="C98" s="137">
        <v>43708</v>
      </c>
      <c r="D98" s="134" t="s">
        <v>588</v>
      </c>
      <c r="E98" s="134" t="s">
        <v>589</v>
      </c>
      <c r="F98" s="134" t="s">
        <v>590</v>
      </c>
      <c r="G98" s="136">
        <v>119.65</v>
      </c>
      <c r="H98" s="136">
        <v>0</v>
      </c>
      <c r="I98" s="136">
        <v>4764.54</v>
      </c>
      <c r="J98" s="134" t="s">
        <v>359</v>
      </c>
    </row>
    <row r="99" spans="1:10" x14ac:dyDescent="0.25">
      <c r="A99" s="131"/>
      <c r="B99" s="131"/>
      <c r="C99" s="137">
        <v>43727</v>
      </c>
      <c r="D99" s="134" t="s">
        <v>549</v>
      </c>
      <c r="E99" s="134" t="s">
        <v>591</v>
      </c>
      <c r="F99" s="134" t="s">
        <v>592</v>
      </c>
      <c r="G99" s="136">
        <v>24.35</v>
      </c>
      <c r="H99" s="136">
        <v>0</v>
      </c>
      <c r="I99" s="136">
        <v>4788.8900000000003</v>
      </c>
      <c r="J99" s="134" t="s">
        <v>359</v>
      </c>
    </row>
    <row r="100" spans="1:10" x14ac:dyDescent="0.25">
      <c r="A100" s="131"/>
      <c r="B100" s="131"/>
      <c r="C100" s="137">
        <v>43727</v>
      </c>
      <c r="D100" s="134" t="s">
        <v>549</v>
      </c>
      <c r="E100" s="134" t="s">
        <v>593</v>
      </c>
      <c r="F100" s="134" t="s">
        <v>594</v>
      </c>
      <c r="G100" s="136">
        <v>15.67</v>
      </c>
      <c r="H100" s="136">
        <v>0</v>
      </c>
      <c r="I100" s="136">
        <v>4804.5600000000004</v>
      </c>
      <c r="J100" s="134" t="s">
        <v>359</v>
      </c>
    </row>
    <row r="101" spans="1:10" x14ac:dyDescent="0.25">
      <c r="A101" s="131"/>
      <c r="B101" s="131"/>
      <c r="C101" s="137">
        <v>43738</v>
      </c>
      <c r="D101" s="134" t="s">
        <v>535</v>
      </c>
      <c r="E101" s="134" t="s">
        <v>425</v>
      </c>
      <c r="F101" s="134" t="s">
        <v>595</v>
      </c>
      <c r="G101" s="136">
        <v>7.14</v>
      </c>
      <c r="H101" s="136">
        <v>0</v>
      </c>
      <c r="I101" s="136">
        <v>4811.7</v>
      </c>
      <c r="J101" s="134" t="s">
        <v>359</v>
      </c>
    </row>
    <row r="102" spans="1:10" x14ac:dyDescent="0.25">
      <c r="A102" s="131"/>
      <c r="B102" s="131"/>
      <c r="C102" s="137">
        <v>43769</v>
      </c>
      <c r="D102" s="134" t="s">
        <v>535</v>
      </c>
      <c r="E102" s="134" t="s">
        <v>427</v>
      </c>
      <c r="F102" s="134" t="s">
        <v>596</v>
      </c>
      <c r="G102" s="136">
        <v>5.38</v>
      </c>
      <c r="H102" s="136">
        <v>0</v>
      </c>
      <c r="I102" s="136">
        <v>4817.08</v>
      </c>
      <c r="J102" s="134" t="s">
        <v>359</v>
      </c>
    </row>
    <row r="103" spans="1:10" x14ac:dyDescent="0.25">
      <c r="A103" s="131"/>
      <c r="B103" s="131"/>
      <c r="C103" s="142">
        <v>43795</v>
      </c>
      <c r="D103" s="143" t="s">
        <v>597</v>
      </c>
      <c r="E103" s="143" t="s">
        <v>598</v>
      </c>
      <c r="F103" s="143" t="s">
        <v>599</v>
      </c>
      <c r="G103" s="144">
        <v>60863</v>
      </c>
      <c r="H103" s="136">
        <v>0</v>
      </c>
      <c r="I103" s="136">
        <v>65680.08</v>
      </c>
      <c r="J103" s="134" t="s">
        <v>359</v>
      </c>
    </row>
    <row r="104" spans="1:10" x14ac:dyDescent="0.25">
      <c r="A104" s="131"/>
      <c r="B104" s="131"/>
      <c r="C104" s="137">
        <v>43800</v>
      </c>
      <c r="D104" s="134" t="s">
        <v>535</v>
      </c>
      <c r="E104" s="134" t="s">
        <v>600</v>
      </c>
      <c r="F104" s="134" t="s">
        <v>601</v>
      </c>
      <c r="G104" s="136">
        <v>81.62</v>
      </c>
      <c r="H104" s="136">
        <v>0</v>
      </c>
      <c r="I104" s="136">
        <v>65761.7</v>
      </c>
      <c r="J104" s="134" t="s">
        <v>359</v>
      </c>
    </row>
    <row r="105" spans="1:10" x14ac:dyDescent="0.25">
      <c r="A105" s="131"/>
      <c r="B105" s="131"/>
      <c r="C105" s="137">
        <v>43830</v>
      </c>
      <c r="D105" s="134" t="s">
        <v>535</v>
      </c>
      <c r="E105" s="134" t="s">
        <v>602</v>
      </c>
      <c r="F105" s="134" t="s">
        <v>603</v>
      </c>
      <c r="G105" s="136">
        <v>14.05</v>
      </c>
      <c r="H105" s="136">
        <v>0</v>
      </c>
      <c r="I105" s="136">
        <v>65775.75</v>
      </c>
      <c r="J105" s="134" t="s">
        <v>359</v>
      </c>
    </row>
    <row r="106" spans="1:10" x14ac:dyDescent="0.25">
      <c r="A106" s="131"/>
      <c r="B106" s="131"/>
      <c r="C106" s="137">
        <v>43851</v>
      </c>
      <c r="D106" s="134" t="s">
        <v>604</v>
      </c>
      <c r="E106" s="134" t="s">
        <v>605</v>
      </c>
      <c r="F106" s="134" t="s">
        <v>606</v>
      </c>
      <c r="G106" s="136">
        <v>0</v>
      </c>
      <c r="H106" s="136">
        <v>146.07</v>
      </c>
      <c r="I106" s="136">
        <v>65629.679999999993</v>
      </c>
      <c r="J106" s="134" t="s">
        <v>359</v>
      </c>
    </row>
    <row r="107" spans="1:10" x14ac:dyDescent="0.25">
      <c r="A107" s="131"/>
      <c r="B107" s="131"/>
      <c r="C107" s="137">
        <v>43861</v>
      </c>
      <c r="D107" s="134" t="s">
        <v>535</v>
      </c>
      <c r="E107" s="134" t="s">
        <v>443</v>
      </c>
      <c r="F107" s="134" t="s">
        <v>536</v>
      </c>
      <c r="G107" s="136">
        <v>76.959999999999994</v>
      </c>
      <c r="H107" s="136">
        <v>0</v>
      </c>
      <c r="I107" s="136">
        <v>65706.64</v>
      </c>
      <c r="J107" s="134" t="s">
        <v>359</v>
      </c>
    </row>
    <row r="108" spans="1:10" x14ac:dyDescent="0.25">
      <c r="A108" s="131"/>
      <c r="B108" s="131"/>
      <c r="C108" s="137">
        <v>43890</v>
      </c>
      <c r="D108" s="134" t="s">
        <v>535</v>
      </c>
      <c r="E108" s="134" t="s">
        <v>607</v>
      </c>
      <c r="F108" s="134" t="s">
        <v>608</v>
      </c>
      <c r="G108" s="136">
        <v>10.99</v>
      </c>
      <c r="H108" s="136">
        <v>0</v>
      </c>
      <c r="I108" s="136">
        <v>65717.63</v>
      </c>
      <c r="J108" s="134" t="s">
        <v>359</v>
      </c>
    </row>
    <row r="109" spans="1:10" x14ac:dyDescent="0.25">
      <c r="A109" s="131"/>
      <c r="B109" s="131"/>
      <c r="C109" s="137">
        <v>43921</v>
      </c>
      <c r="D109" s="134" t="s">
        <v>609</v>
      </c>
      <c r="E109" s="134" t="s">
        <v>610</v>
      </c>
      <c r="F109" s="134" t="s">
        <v>611</v>
      </c>
      <c r="G109" s="138">
        <v>431.25</v>
      </c>
      <c r="H109" s="138">
        <v>0</v>
      </c>
      <c r="I109" s="136">
        <v>66148.88</v>
      </c>
      <c r="J109" s="134" t="s">
        <v>359</v>
      </c>
    </row>
    <row r="110" spans="1:10" x14ac:dyDescent="0.25">
      <c r="A110" s="131"/>
      <c r="B110" s="131"/>
      <c r="C110" s="131"/>
      <c r="D110" s="131"/>
      <c r="E110" s="131"/>
      <c r="F110" s="131"/>
      <c r="G110" s="136">
        <f>SUBTOTAL(9,G79:G109)</f>
        <v>66294.950000000012</v>
      </c>
      <c r="H110" s="136">
        <f>SUBTOTAL(9,H79:H109)</f>
        <v>146.07</v>
      </c>
    </row>
    <row r="112" spans="1:10" x14ac:dyDescent="0.25">
      <c r="A112" s="130" t="s">
        <v>612</v>
      </c>
      <c r="B112" s="130" t="s">
        <v>613</v>
      </c>
      <c r="C112" s="135"/>
      <c r="D112" s="135"/>
      <c r="E112" s="135"/>
      <c r="F112" s="135"/>
      <c r="G112" s="135"/>
      <c r="H112" s="135"/>
      <c r="I112" s="136">
        <v>0</v>
      </c>
      <c r="J112" s="134" t="s">
        <v>359</v>
      </c>
    </row>
    <row r="114" spans="1:10" x14ac:dyDescent="0.25">
      <c r="A114" s="130" t="s">
        <v>614</v>
      </c>
      <c r="B114" s="130" t="s">
        <v>615</v>
      </c>
      <c r="C114" s="135"/>
      <c r="D114" s="135"/>
      <c r="E114" s="135"/>
      <c r="F114" s="135"/>
      <c r="G114" s="135"/>
      <c r="H114" s="135"/>
      <c r="I114" s="136">
        <v>0</v>
      </c>
      <c r="J114" s="134" t="s">
        <v>359</v>
      </c>
    </row>
    <row r="116" spans="1:10" x14ac:dyDescent="0.25">
      <c r="A116" s="130" t="s">
        <v>616</v>
      </c>
      <c r="B116" s="130" t="s">
        <v>617</v>
      </c>
      <c r="C116" s="135"/>
      <c r="D116" s="135"/>
      <c r="E116" s="135"/>
      <c r="F116" s="135"/>
      <c r="G116" s="135"/>
      <c r="H116" s="135"/>
      <c r="I116" s="136">
        <v>0.03</v>
      </c>
      <c r="J116" s="134" t="s">
        <v>358</v>
      </c>
    </row>
    <row r="117" spans="1:10" x14ac:dyDescent="0.25">
      <c r="A117" s="131"/>
      <c r="B117" s="131"/>
      <c r="C117" s="137">
        <v>43577</v>
      </c>
      <c r="D117" s="134" t="s">
        <v>618</v>
      </c>
      <c r="E117" s="134" t="s">
        <v>360</v>
      </c>
      <c r="F117" s="134" t="s">
        <v>619</v>
      </c>
      <c r="G117" s="136">
        <v>77.47</v>
      </c>
      <c r="H117" s="136">
        <v>0</v>
      </c>
      <c r="I117" s="136">
        <v>77.44</v>
      </c>
      <c r="J117" s="134" t="s">
        <v>359</v>
      </c>
    </row>
    <row r="118" spans="1:10" x14ac:dyDescent="0.25">
      <c r="A118" s="131"/>
      <c r="B118" s="131"/>
      <c r="C118" s="137">
        <v>43585</v>
      </c>
      <c r="D118" s="134" t="s">
        <v>620</v>
      </c>
      <c r="E118" s="134" t="s">
        <v>621</v>
      </c>
      <c r="F118" s="134" t="s">
        <v>622</v>
      </c>
      <c r="G118" s="136">
        <v>84.95</v>
      </c>
      <c r="H118" s="136">
        <v>0</v>
      </c>
      <c r="I118" s="136">
        <v>162.38999999999999</v>
      </c>
      <c r="J118" s="134" t="s">
        <v>359</v>
      </c>
    </row>
    <row r="119" spans="1:10" x14ac:dyDescent="0.25">
      <c r="A119" s="131"/>
      <c r="B119" s="131"/>
      <c r="C119" s="137">
        <v>43585</v>
      </c>
      <c r="D119" s="134" t="s">
        <v>620</v>
      </c>
      <c r="E119" s="134" t="s">
        <v>621</v>
      </c>
      <c r="F119" s="134" t="s">
        <v>622</v>
      </c>
      <c r="G119" s="136">
        <v>43.44</v>
      </c>
      <c r="H119" s="136">
        <v>0</v>
      </c>
      <c r="I119" s="136">
        <v>205.83</v>
      </c>
      <c r="J119" s="134" t="s">
        <v>359</v>
      </c>
    </row>
    <row r="120" spans="1:10" x14ac:dyDescent="0.25">
      <c r="A120" s="131"/>
      <c r="B120" s="131"/>
      <c r="C120" s="137">
        <v>43585</v>
      </c>
      <c r="D120" s="134" t="s">
        <v>623</v>
      </c>
      <c r="E120" s="134" t="s">
        <v>360</v>
      </c>
      <c r="F120" s="134" t="s">
        <v>624</v>
      </c>
      <c r="G120" s="136">
        <v>0.3</v>
      </c>
      <c r="H120" s="136">
        <v>0</v>
      </c>
      <c r="I120" s="136">
        <v>206.13</v>
      </c>
      <c r="J120" s="134" t="s">
        <v>359</v>
      </c>
    </row>
    <row r="121" spans="1:10" x14ac:dyDescent="0.25">
      <c r="A121" s="131"/>
      <c r="B121" s="131"/>
      <c r="C121" s="137">
        <v>43606</v>
      </c>
      <c r="D121" s="134" t="s">
        <v>625</v>
      </c>
      <c r="E121" s="134" t="s">
        <v>626</v>
      </c>
      <c r="F121" s="134" t="s">
        <v>627</v>
      </c>
      <c r="G121" s="136">
        <v>77.48</v>
      </c>
      <c r="H121" s="136">
        <v>0</v>
      </c>
      <c r="I121" s="136">
        <v>283.61</v>
      </c>
      <c r="J121" s="134" t="s">
        <v>359</v>
      </c>
    </row>
    <row r="122" spans="1:10" x14ac:dyDescent="0.25">
      <c r="A122" s="131"/>
      <c r="B122" s="131"/>
      <c r="C122" s="137">
        <v>43616</v>
      </c>
      <c r="D122" s="134" t="s">
        <v>620</v>
      </c>
      <c r="E122" s="134" t="s">
        <v>621</v>
      </c>
      <c r="F122" s="134" t="s">
        <v>628</v>
      </c>
      <c r="G122" s="136">
        <v>84.95</v>
      </c>
      <c r="H122" s="136">
        <v>0</v>
      </c>
      <c r="I122" s="136">
        <v>368.56</v>
      </c>
      <c r="J122" s="134" t="s">
        <v>359</v>
      </c>
    </row>
    <row r="123" spans="1:10" x14ac:dyDescent="0.25">
      <c r="A123" s="131"/>
      <c r="B123" s="131"/>
      <c r="C123" s="137">
        <v>43616</v>
      </c>
      <c r="D123" s="134" t="s">
        <v>620</v>
      </c>
      <c r="E123" s="134" t="s">
        <v>621</v>
      </c>
      <c r="F123" s="134" t="s">
        <v>628</v>
      </c>
      <c r="G123" s="136">
        <v>25</v>
      </c>
      <c r="H123" s="136">
        <v>0</v>
      </c>
      <c r="I123" s="136">
        <v>393.56</v>
      </c>
      <c r="J123" s="134" t="s">
        <v>359</v>
      </c>
    </row>
    <row r="124" spans="1:10" x14ac:dyDescent="0.25">
      <c r="A124" s="131"/>
      <c r="B124" s="131"/>
      <c r="C124" s="137">
        <v>43636</v>
      </c>
      <c r="D124" s="134" t="s">
        <v>629</v>
      </c>
      <c r="E124" s="134" t="s">
        <v>360</v>
      </c>
      <c r="F124" s="134" t="s">
        <v>630</v>
      </c>
      <c r="G124" s="136">
        <v>77.48</v>
      </c>
      <c r="H124" s="136">
        <v>0</v>
      </c>
      <c r="I124" s="136">
        <v>471.04</v>
      </c>
      <c r="J124" s="134" t="s">
        <v>359</v>
      </c>
    </row>
    <row r="125" spans="1:10" x14ac:dyDescent="0.25">
      <c r="A125" s="131"/>
      <c r="B125" s="131"/>
      <c r="C125" s="137">
        <v>43646</v>
      </c>
      <c r="D125" s="134" t="s">
        <v>620</v>
      </c>
      <c r="E125" s="134" t="s">
        <v>621</v>
      </c>
      <c r="F125" s="134" t="s">
        <v>631</v>
      </c>
      <c r="G125" s="136">
        <v>35</v>
      </c>
      <c r="H125" s="136">
        <v>0</v>
      </c>
      <c r="I125" s="136">
        <v>506.04</v>
      </c>
      <c r="J125" s="134" t="s">
        <v>359</v>
      </c>
    </row>
    <row r="126" spans="1:10" x14ac:dyDescent="0.25">
      <c r="A126" s="131"/>
      <c r="B126" s="131"/>
      <c r="C126" s="137">
        <v>43646</v>
      </c>
      <c r="D126" s="134" t="s">
        <v>620</v>
      </c>
      <c r="E126" s="134" t="s">
        <v>621</v>
      </c>
      <c r="F126" s="134" t="s">
        <v>631</v>
      </c>
      <c r="G126" s="136">
        <v>84.95</v>
      </c>
      <c r="H126" s="136">
        <v>0</v>
      </c>
      <c r="I126" s="136">
        <v>590.99</v>
      </c>
      <c r="J126" s="134" t="s">
        <v>359</v>
      </c>
    </row>
    <row r="127" spans="1:10" x14ac:dyDescent="0.25">
      <c r="A127" s="131"/>
      <c r="B127" s="131"/>
      <c r="C127" s="137">
        <v>43668</v>
      </c>
      <c r="D127" s="134" t="s">
        <v>629</v>
      </c>
      <c r="E127" s="134" t="s">
        <v>360</v>
      </c>
      <c r="F127" s="134" t="s">
        <v>632</v>
      </c>
      <c r="G127" s="136">
        <v>77.48</v>
      </c>
      <c r="H127" s="136">
        <v>0</v>
      </c>
      <c r="I127" s="136">
        <v>668.47</v>
      </c>
      <c r="J127" s="134" t="s">
        <v>359</v>
      </c>
    </row>
    <row r="128" spans="1:10" x14ac:dyDescent="0.25">
      <c r="A128" s="131"/>
      <c r="B128" s="131"/>
      <c r="C128" s="137">
        <v>43677</v>
      </c>
      <c r="D128" s="134" t="s">
        <v>620</v>
      </c>
      <c r="E128" s="134" t="s">
        <v>621</v>
      </c>
      <c r="F128" s="134" t="s">
        <v>633</v>
      </c>
      <c r="G128" s="136">
        <v>99.2</v>
      </c>
      <c r="H128" s="136">
        <v>0</v>
      </c>
      <c r="I128" s="136">
        <v>767.67</v>
      </c>
      <c r="J128" s="134" t="s">
        <v>359</v>
      </c>
    </row>
    <row r="129" spans="1:10" x14ac:dyDescent="0.25">
      <c r="A129" s="131"/>
      <c r="B129" s="131"/>
      <c r="C129" s="137">
        <v>43697</v>
      </c>
      <c r="D129" s="134" t="s">
        <v>629</v>
      </c>
      <c r="E129" s="134" t="s">
        <v>360</v>
      </c>
      <c r="F129" s="134" t="s">
        <v>634</v>
      </c>
      <c r="G129" s="136">
        <v>77.48</v>
      </c>
      <c r="H129" s="136">
        <v>0</v>
      </c>
      <c r="I129" s="136">
        <v>845.15</v>
      </c>
      <c r="J129" s="134" t="s">
        <v>359</v>
      </c>
    </row>
    <row r="130" spans="1:10" x14ac:dyDescent="0.25">
      <c r="A130" s="131"/>
      <c r="B130" s="131"/>
      <c r="C130" s="137">
        <v>43708</v>
      </c>
      <c r="D130" s="134" t="s">
        <v>620</v>
      </c>
      <c r="E130" s="134" t="s">
        <v>621</v>
      </c>
      <c r="F130" s="134" t="s">
        <v>635</v>
      </c>
      <c r="G130" s="136">
        <v>86.45</v>
      </c>
      <c r="H130" s="136">
        <v>0</v>
      </c>
      <c r="I130" s="136">
        <v>931.6</v>
      </c>
      <c r="J130" s="134" t="s">
        <v>359</v>
      </c>
    </row>
    <row r="131" spans="1:10" x14ac:dyDescent="0.25">
      <c r="A131" s="131"/>
      <c r="B131" s="131"/>
      <c r="C131" s="137">
        <v>43728</v>
      </c>
      <c r="D131" s="134" t="s">
        <v>629</v>
      </c>
      <c r="E131" s="134" t="s">
        <v>360</v>
      </c>
      <c r="F131" s="134" t="s">
        <v>636</v>
      </c>
      <c r="G131" s="136">
        <v>77.48</v>
      </c>
      <c r="H131" s="136">
        <v>0</v>
      </c>
      <c r="I131" s="136">
        <v>1009.08</v>
      </c>
      <c r="J131" s="134" t="s">
        <v>359</v>
      </c>
    </row>
    <row r="132" spans="1:10" x14ac:dyDescent="0.25">
      <c r="A132" s="131"/>
      <c r="B132" s="131"/>
      <c r="C132" s="137">
        <v>43738</v>
      </c>
      <c r="D132" s="134" t="s">
        <v>620</v>
      </c>
      <c r="E132" s="134" t="s">
        <v>621</v>
      </c>
      <c r="F132" s="134" t="s">
        <v>637</v>
      </c>
      <c r="G132" s="136">
        <v>84.95</v>
      </c>
      <c r="H132" s="136">
        <v>0</v>
      </c>
      <c r="I132" s="136">
        <v>1094.03</v>
      </c>
      <c r="J132" s="134" t="s">
        <v>359</v>
      </c>
    </row>
    <row r="133" spans="1:10" x14ac:dyDescent="0.25">
      <c r="A133" s="131"/>
      <c r="B133" s="131"/>
      <c r="C133" s="137">
        <v>43739</v>
      </c>
      <c r="D133" s="134" t="s">
        <v>638</v>
      </c>
      <c r="E133" s="134" t="s">
        <v>362</v>
      </c>
      <c r="F133" s="134" t="s">
        <v>639</v>
      </c>
      <c r="G133" s="136">
        <v>47.33</v>
      </c>
      <c r="H133" s="136">
        <v>0</v>
      </c>
      <c r="I133" s="136">
        <v>1141.3599999999999</v>
      </c>
      <c r="J133" s="134" t="s">
        <v>359</v>
      </c>
    </row>
    <row r="134" spans="1:10" x14ac:dyDescent="0.25">
      <c r="A134" s="131"/>
      <c r="B134" s="131"/>
      <c r="C134" s="137">
        <v>43758</v>
      </c>
      <c r="D134" s="134" t="s">
        <v>629</v>
      </c>
      <c r="E134" s="134" t="s">
        <v>360</v>
      </c>
      <c r="F134" s="134" t="s">
        <v>640</v>
      </c>
      <c r="G134" s="136">
        <v>77.48</v>
      </c>
      <c r="H134" s="136">
        <v>0</v>
      </c>
      <c r="I134" s="136">
        <v>1218.8399999999999</v>
      </c>
      <c r="J134" s="134" t="s">
        <v>359</v>
      </c>
    </row>
    <row r="135" spans="1:10" x14ac:dyDescent="0.25">
      <c r="A135" s="131"/>
      <c r="B135" s="131"/>
      <c r="C135" s="137">
        <v>43769</v>
      </c>
      <c r="D135" s="134" t="s">
        <v>620</v>
      </c>
      <c r="E135" s="134" t="s">
        <v>621</v>
      </c>
      <c r="F135" s="134" t="s">
        <v>641</v>
      </c>
      <c r="G135" s="136">
        <v>84.95</v>
      </c>
      <c r="H135" s="136">
        <v>0</v>
      </c>
      <c r="I135" s="136">
        <v>1303.79</v>
      </c>
      <c r="J135" s="134" t="s">
        <v>359</v>
      </c>
    </row>
    <row r="136" spans="1:10" x14ac:dyDescent="0.25">
      <c r="A136" s="131"/>
      <c r="B136" s="131"/>
      <c r="C136" s="137">
        <v>43769</v>
      </c>
      <c r="D136" s="134" t="s">
        <v>620</v>
      </c>
      <c r="E136" s="134" t="s">
        <v>621</v>
      </c>
      <c r="F136" s="134" t="s">
        <v>641</v>
      </c>
      <c r="G136" s="136">
        <v>22.26</v>
      </c>
      <c r="H136" s="136">
        <v>0</v>
      </c>
      <c r="I136" s="136">
        <v>1326.05</v>
      </c>
      <c r="J136" s="134" t="s">
        <v>359</v>
      </c>
    </row>
    <row r="137" spans="1:10" x14ac:dyDescent="0.25">
      <c r="A137" s="131"/>
      <c r="B137" s="131"/>
      <c r="C137" s="137">
        <v>43789</v>
      </c>
      <c r="D137" s="134" t="s">
        <v>629</v>
      </c>
      <c r="E137" s="134" t="s">
        <v>360</v>
      </c>
      <c r="F137" s="134" t="s">
        <v>642</v>
      </c>
      <c r="G137" s="136">
        <v>77.48</v>
      </c>
      <c r="H137" s="136">
        <v>0</v>
      </c>
      <c r="I137" s="136">
        <v>1403.53</v>
      </c>
      <c r="J137" s="134" t="s">
        <v>359</v>
      </c>
    </row>
    <row r="138" spans="1:10" x14ac:dyDescent="0.25">
      <c r="A138" s="131"/>
      <c r="B138" s="131"/>
      <c r="C138" s="137">
        <v>43799</v>
      </c>
      <c r="D138" s="134" t="s">
        <v>620</v>
      </c>
      <c r="E138" s="134" t="s">
        <v>621</v>
      </c>
      <c r="F138" s="134" t="s">
        <v>643</v>
      </c>
      <c r="G138" s="136">
        <v>84.95</v>
      </c>
      <c r="H138" s="136">
        <v>0</v>
      </c>
      <c r="I138" s="136">
        <v>1488.48</v>
      </c>
      <c r="J138" s="134" t="s">
        <v>359</v>
      </c>
    </row>
    <row r="139" spans="1:10" x14ac:dyDescent="0.25">
      <c r="A139" s="131"/>
      <c r="B139" s="131"/>
      <c r="C139" s="137">
        <v>43799</v>
      </c>
      <c r="D139" s="134" t="s">
        <v>620</v>
      </c>
      <c r="E139" s="134" t="s">
        <v>621</v>
      </c>
      <c r="F139" s="134" t="s">
        <v>643</v>
      </c>
      <c r="G139" s="136">
        <v>18.010000000000002</v>
      </c>
      <c r="H139" s="136">
        <v>0</v>
      </c>
      <c r="I139" s="136">
        <v>1506.49</v>
      </c>
      <c r="J139" s="134" t="s">
        <v>359</v>
      </c>
    </row>
    <row r="140" spans="1:10" x14ac:dyDescent="0.25">
      <c r="A140" s="131"/>
      <c r="B140" s="131"/>
      <c r="C140" s="137">
        <v>43819</v>
      </c>
      <c r="D140" s="134" t="s">
        <v>644</v>
      </c>
      <c r="E140" s="134" t="s">
        <v>360</v>
      </c>
      <c r="F140" s="134" t="s">
        <v>645</v>
      </c>
      <c r="G140" s="136">
        <v>77.48</v>
      </c>
      <c r="H140" s="136">
        <v>0</v>
      </c>
      <c r="I140" s="136">
        <v>1583.97</v>
      </c>
      <c r="J140" s="134" t="s">
        <v>359</v>
      </c>
    </row>
    <row r="141" spans="1:10" x14ac:dyDescent="0.25">
      <c r="A141" s="131"/>
      <c r="B141" s="131"/>
      <c r="C141" s="137">
        <v>43830</v>
      </c>
      <c r="D141" s="134" t="s">
        <v>620</v>
      </c>
      <c r="E141" s="134" t="s">
        <v>621</v>
      </c>
      <c r="F141" s="134" t="s">
        <v>646</v>
      </c>
      <c r="G141" s="136">
        <v>84.95</v>
      </c>
      <c r="H141" s="136">
        <v>0</v>
      </c>
      <c r="I141" s="136">
        <v>1668.92</v>
      </c>
      <c r="J141" s="134" t="s">
        <v>359</v>
      </c>
    </row>
    <row r="142" spans="1:10" x14ac:dyDescent="0.25">
      <c r="A142" s="131"/>
      <c r="B142" s="131"/>
      <c r="C142" s="137">
        <v>43850</v>
      </c>
      <c r="D142" s="134" t="s">
        <v>629</v>
      </c>
      <c r="E142" s="134" t="s">
        <v>360</v>
      </c>
      <c r="F142" s="134" t="s">
        <v>647</v>
      </c>
      <c r="G142" s="136">
        <v>77.48</v>
      </c>
      <c r="H142" s="136">
        <v>0</v>
      </c>
      <c r="I142" s="136">
        <v>1746.4</v>
      </c>
      <c r="J142" s="134" t="s">
        <v>359</v>
      </c>
    </row>
    <row r="143" spans="1:10" x14ac:dyDescent="0.25">
      <c r="A143" s="131"/>
      <c r="B143" s="131"/>
      <c r="C143" s="137">
        <v>43861</v>
      </c>
      <c r="D143" s="134" t="s">
        <v>620</v>
      </c>
      <c r="E143" s="134" t="s">
        <v>621</v>
      </c>
      <c r="F143" s="134" t="s">
        <v>648</v>
      </c>
      <c r="G143" s="136">
        <v>84.95</v>
      </c>
      <c r="H143" s="136">
        <v>0</v>
      </c>
      <c r="I143" s="136">
        <v>1831.35</v>
      </c>
      <c r="J143" s="134" t="s">
        <v>359</v>
      </c>
    </row>
    <row r="144" spans="1:10" x14ac:dyDescent="0.25">
      <c r="A144" s="131"/>
      <c r="B144" s="131"/>
      <c r="C144" s="137">
        <v>43861</v>
      </c>
      <c r="D144" s="134" t="s">
        <v>649</v>
      </c>
      <c r="E144" s="134" t="s">
        <v>361</v>
      </c>
      <c r="F144" s="134" t="s">
        <v>650</v>
      </c>
      <c r="G144" s="136">
        <v>3</v>
      </c>
      <c r="H144" s="136">
        <v>0</v>
      </c>
      <c r="I144" s="136">
        <v>1834.35</v>
      </c>
      <c r="J144" s="134" t="s">
        <v>359</v>
      </c>
    </row>
    <row r="145" spans="1:10" x14ac:dyDescent="0.25">
      <c r="A145" s="131"/>
      <c r="B145" s="131"/>
      <c r="C145" s="137">
        <v>43881</v>
      </c>
      <c r="D145" s="134" t="s">
        <v>629</v>
      </c>
      <c r="E145" s="134" t="s">
        <v>360</v>
      </c>
      <c r="F145" s="134" t="s">
        <v>651</v>
      </c>
      <c r="G145" s="136">
        <v>77.48</v>
      </c>
      <c r="H145" s="136">
        <v>0</v>
      </c>
      <c r="I145" s="136">
        <v>1911.83</v>
      </c>
      <c r="J145" s="134" t="s">
        <v>359</v>
      </c>
    </row>
    <row r="146" spans="1:10" x14ac:dyDescent="0.25">
      <c r="A146" s="131"/>
      <c r="B146" s="131"/>
      <c r="C146" s="137">
        <v>43890</v>
      </c>
      <c r="D146" s="134" t="s">
        <v>620</v>
      </c>
      <c r="E146" s="134" t="s">
        <v>621</v>
      </c>
      <c r="F146" s="134" t="s">
        <v>652</v>
      </c>
      <c r="G146" s="136">
        <v>84.95</v>
      </c>
      <c r="H146" s="136">
        <v>0</v>
      </c>
      <c r="I146" s="136">
        <v>1996.78</v>
      </c>
      <c r="J146" s="134" t="s">
        <v>359</v>
      </c>
    </row>
    <row r="147" spans="1:10" x14ac:dyDescent="0.25">
      <c r="A147" s="131"/>
      <c r="B147" s="131"/>
      <c r="C147" s="137">
        <v>43890</v>
      </c>
      <c r="D147" s="134" t="s">
        <v>620</v>
      </c>
      <c r="E147" s="134" t="s">
        <v>621</v>
      </c>
      <c r="F147" s="134" t="s">
        <v>652</v>
      </c>
      <c r="G147" s="136">
        <v>17.77</v>
      </c>
      <c r="H147" s="136">
        <v>0</v>
      </c>
      <c r="I147" s="136">
        <v>2014.55</v>
      </c>
      <c r="J147" s="134" t="s">
        <v>359</v>
      </c>
    </row>
    <row r="148" spans="1:10" x14ac:dyDescent="0.25">
      <c r="A148" s="131"/>
      <c r="B148" s="131"/>
      <c r="C148" s="137">
        <v>43910</v>
      </c>
      <c r="D148" s="134" t="s">
        <v>629</v>
      </c>
      <c r="E148" s="134" t="s">
        <v>360</v>
      </c>
      <c r="F148" s="134" t="s">
        <v>653</v>
      </c>
      <c r="G148" s="136">
        <v>77.48</v>
      </c>
      <c r="H148" s="136">
        <v>0</v>
      </c>
      <c r="I148" s="136">
        <v>2092.0300000000002</v>
      </c>
      <c r="J148" s="134" t="s">
        <v>359</v>
      </c>
    </row>
    <row r="149" spans="1:10" x14ac:dyDescent="0.25">
      <c r="A149" s="131"/>
      <c r="B149" s="131"/>
      <c r="C149" s="137">
        <v>43921</v>
      </c>
      <c r="D149" s="134" t="s">
        <v>620</v>
      </c>
      <c r="E149" s="134" t="s">
        <v>621</v>
      </c>
      <c r="F149" s="134" t="s">
        <v>654</v>
      </c>
      <c r="G149" s="136">
        <v>84.95</v>
      </c>
      <c r="H149" s="136">
        <v>0</v>
      </c>
      <c r="I149" s="136">
        <v>2176.98</v>
      </c>
      <c r="J149" s="134" t="s">
        <v>359</v>
      </c>
    </row>
    <row r="150" spans="1:10" x14ac:dyDescent="0.25">
      <c r="A150" s="131"/>
      <c r="B150" s="131"/>
      <c r="C150" s="137">
        <v>43921</v>
      </c>
      <c r="D150" s="134" t="s">
        <v>620</v>
      </c>
      <c r="E150" s="134" t="s">
        <v>621</v>
      </c>
      <c r="F150" s="134" t="s">
        <v>654</v>
      </c>
      <c r="G150" s="136">
        <v>141.04</v>
      </c>
      <c r="H150" s="136">
        <v>0</v>
      </c>
      <c r="I150" s="136">
        <v>2318.02</v>
      </c>
      <c r="J150" s="134" t="s">
        <v>359</v>
      </c>
    </row>
    <row r="151" spans="1:10" x14ac:dyDescent="0.25">
      <c r="A151" s="131"/>
      <c r="B151" s="131"/>
      <c r="C151" s="137">
        <v>43921</v>
      </c>
      <c r="D151" s="134" t="s">
        <v>655</v>
      </c>
      <c r="E151" s="134" t="s">
        <v>656</v>
      </c>
      <c r="F151" s="134" t="s">
        <v>657</v>
      </c>
      <c r="G151" s="136">
        <v>110.45</v>
      </c>
      <c r="H151" s="136">
        <v>0</v>
      </c>
      <c r="I151" s="136">
        <v>2428.4699999999998</v>
      </c>
      <c r="J151" s="134" t="s">
        <v>359</v>
      </c>
    </row>
    <row r="152" spans="1:10" x14ac:dyDescent="0.25">
      <c r="A152" s="131"/>
      <c r="B152" s="131"/>
      <c r="C152" s="137">
        <v>43921</v>
      </c>
      <c r="D152" s="134" t="s">
        <v>658</v>
      </c>
      <c r="E152" s="134" t="s">
        <v>659</v>
      </c>
      <c r="F152" s="134" t="s">
        <v>660</v>
      </c>
      <c r="G152" s="136">
        <v>18.23</v>
      </c>
      <c r="H152" s="136">
        <v>0</v>
      </c>
      <c r="I152" s="136">
        <v>2446.6999999999998</v>
      </c>
      <c r="J152" s="134" t="s">
        <v>359</v>
      </c>
    </row>
    <row r="153" spans="1:10" x14ac:dyDescent="0.25">
      <c r="A153" s="131"/>
      <c r="B153" s="131"/>
      <c r="C153" s="137">
        <v>43921</v>
      </c>
      <c r="D153" s="134" t="s">
        <v>661</v>
      </c>
      <c r="E153" s="134" t="s">
        <v>662</v>
      </c>
      <c r="F153" s="134" t="s">
        <v>663</v>
      </c>
      <c r="G153" s="136">
        <v>580.95000000000005</v>
      </c>
      <c r="H153" s="136">
        <v>0</v>
      </c>
      <c r="I153" s="136">
        <v>3027.65</v>
      </c>
      <c r="J153" s="134" t="s">
        <v>359</v>
      </c>
    </row>
    <row r="154" spans="1:10" x14ac:dyDescent="0.25">
      <c r="A154" s="131"/>
      <c r="B154" s="131"/>
      <c r="C154" s="137">
        <v>43921</v>
      </c>
      <c r="D154" s="134" t="s">
        <v>664</v>
      </c>
      <c r="E154" s="134" t="s">
        <v>665</v>
      </c>
      <c r="F154" s="134" t="s">
        <v>666</v>
      </c>
      <c r="G154" s="136">
        <v>30.86</v>
      </c>
      <c r="H154" s="136">
        <v>0</v>
      </c>
      <c r="I154" s="136">
        <v>3058.51</v>
      </c>
      <c r="J154" s="134" t="s">
        <v>359</v>
      </c>
    </row>
    <row r="155" spans="1:10" x14ac:dyDescent="0.25">
      <c r="A155" s="131"/>
      <c r="B155" s="131"/>
      <c r="C155" s="137">
        <v>43921</v>
      </c>
      <c r="D155" s="134" t="s">
        <v>664</v>
      </c>
      <c r="E155" s="134" t="s">
        <v>667</v>
      </c>
      <c r="F155" s="134" t="s">
        <v>668</v>
      </c>
      <c r="G155" s="136">
        <v>20.99</v>
      </c>
      <c r="H155" s="136">
        <v>0</v>
      </c>
      <c r="I155" s="136">
        <v>3079.5</v>
      </c>
      <c r="J155" s="134" t="s">
        <v>359</v>
      </c>
    </row>
    <row r="156" spans="1:10" x14ac:dyDescent="0.25">
      <c r="A156" s="131"/>
      <c r="B156" s="131"/>
      <c r="C156" s="137">
        <v>43921</v>
      </c>
      <c r="D156" s="134" t="s">
        <v>664</v>
      </c>
      <c r="E156" s="134" t="s">
        <v>669</v>
      </c>
      <c r="F156" s="134" t="s">
        <v>670</v>
      </c>
      <c r="G156" s="136">
        <v>3.59</v>
      </c>
      <c r="H156" s="136">
        <v>0</v>
      </c>
      <c r="I156" s="136">
        <v>3083.09</v>
      </c>
      <c r="J156" s="134" t="s">
        <v>359</v>
      </c>
    </row>
    <row r="157" spans="1:10" x14ac:dyDescent="0.25">
      <c r="A157" s="131"/>
      <c r="B157" s="131"/>
      <c r="C157" s="137">
        <v>43921</v>
      </c>
      <c r="D157" s="134" t="s">
        <v>664</v>
      </c>
      <c r="E157" s="134" t="s">
        <v>671</v>
      </c>
      <c r="F157" s="134" t="s">
        <v>672</v>
      </c>
      <c r="G157" s="136">
        <v>79.39</v>
      </c>
      <c r="H157" s="136">
        <v>0</v>
      </c>
      <c r="I157" s="136">
        <v>3162.48</v>
      </c>
      <c r="J157" s="134" t="s">
        <v>359</v>
      </c>
    </row>
    <row r="158" spans="1:10" x14ac:dyDescent="0.25">
      <c r="A158" s="131"/>
      <c r="B158" s="131"/>
      <c r="C158" s="137">
        <v>43921</v>
      </c>
      <c r="D158" s="134" t="s">
        <v>664</v>
      </c>
      <c r="E158" s="134" t="s">
        <v>673</v>
      </c>
      <c r="F158" s="134" t="s">
        <v>674</v>
      </c>
      <c r="G158" s="136">
        <v>31.95</v>
      </c>
      <c r="H158" s="136">
        <v>0</v>
      </c>
      <c r="I158" s="136">
        <v>3194.43</v>
      </c>
      <c r="J158" s="134" t="s">
        <v>359</v>
      </c>
    </row>
    <row r="159" spans="1:10" x14ac:dyDescent="0.25">
      <c r="A159" s="131"/>
      <c r="B159" s="131"/>
      <c r="C159" s="137">
        <v>43921</v>
      </c>
      <c r="D159" s="134" t="s">
        <v>664</v>
      </c>
      <c r="E159" s="134" t="s">
        <v>675</v>
      </c>
      <c r="F159" s="134" t="s">
        <v>676</v>
      </c>
      <c r="G159" s="136">
        <v>28.06</v>
      </c>
      <c r="H159" s="136">
        <v>0</v>
      </c>
      <c r="I159" s="136">
        <v>3222.49</v>
      </c>
      <c r="J159" s="134" t="s">
        <v>359</v>
      </c>
    </row>
    <row r="160" spans="1:10" x14ac:dyDescent="0.25">
      <c r="A160" s="131"/>
      <c r="B160" s="131"/>
      <c r="C160" s="137">
        <v>43921</v>
      </c>
      <c r="D160" s="134" t="s">
        <v>677</v>
      </c>
      <c r="E160" s="134" t="s">
        <v>678</v>
      </c>
      <c r="F160" s="134" t="s">
        <v>679</v>
      </c>
      <c r="G160" s="136">
        <v>0</v>
      </c>
      <c r="H160" s="136">
        <v>651.72</v>
      </c>
      <c r="I160" s="136">
        <v>2570.77</v>
      </c>
      <c r="J160" s="134" t="s">
        <v>359</v>
      </c>
    </row>
    <row r="161" spans="1:10" x14ac:dyDescent="0.25">
      <c r="A161" s="131"/>
      <c r="B161" s="131"/>
      <c r="C161" s="137">
        <v>43921</v>
      </c>
      <c r="D161" s="134" t="s">
        <v>664</v>
      </c>
      <c r="E161" s="134" t="s">
        <v>680</v>
      </c>
      <c r="F161" s="134" t="s">
        <v>681</v>
      </c>
      <c r="G161" s="138">
        <v>11.17</v>
      </c>
      <c r="H161" s="138">
        <v>0</v>
      </c>
      <c r="I161" s="136">
        <v>2581.94</v>
      </c>
      <c r="J161" s="134" t="s">
        <v>359</v>
      </c>
    </row>
    <row r="162" spans="1:10" x14ac:dyDescent="0.25">
      <c r="A162" s="131"/>
      <c r="B162" s="131"/>
      <c r="C162" s="131"/>
      <c r="D162" s="131"/>
      <c r="E162" s="131"/>
      <c r="F162" s="131"/>
      <c r="G162" s="136">
        <f>SUBTOTAL(9,G117:G161)</f>
        <v>3233.69</v>
      </c>
      <c r="H162" s="136">
        <f>SUBTOTAL(9,H117:H161)</f>
        <v>651.72</v>
      </c>
    </row>
    <row r="164" spans="1:10" x14ac:dyDescent="0.25">
      <c r="A164" s="130" t="s">
        <v>682</v>
      </c>
      <c r="B164" s="130" t="s">
        <v>683</v>
      </c>
      <c r="C164" s="135"/>
      <c r="D164" s="135"/>
      <c r="E164" s="135"/>
      <c r="F164" s="135"/>
      <c r="G164" s="135"/>
      <c r="H164" s="135"/>
      <c r="I164" s="136">
        <v>0</v>
      </c>
      <c r="J164" s="134" t="s">
        <v>359</v>
      </c>
    </row>
    <row r="165" spans="1:10" x14ac:dyDescent="0.25">
      <c r="A165" s="131"/>
      <c r="B165" s="131"/>
      <c r="C165" s="137">
        <v>43558</v>
      </c>
      <c r="D165" s="134" t="s">
        <v>684</v>
      </c>
      <c r="E165" s="134" t="s">
        <v>621</v>
      </c>
      <c r="F165" s="134" t="s">
        <v>685</v>
      </c>
      <c r="G165" s="136">
        <v>51.85</v>
      </c>
      <c r="H165" s="136">
        <v>0</v>
      </c>
      <c r="I165" s="136">
        <v>51.85</v>
      </c>
      <c r="J165" s="134" t="s">
        <v>359</v>
      </c>
    </row>
    <row r="166" spans="1:10" x14ac:dyDescent="0.25">
      <c r="A166" s="131"/>
      <c r="B166" s="131"/>
      <c r="C166" s="137">
        <v>43577</v>
      </c>
      <c r="D166" s="134" t="s">
        <v>686</v>
      </c>
      <c r="E166" s="134" t="s">
        <v>621</v>
      </c>
      <c r="F166" s="134" t="s">
        <v>687</v>
      </c>
      <c r="G166" s="136">
        <v>321.8</v>
      </c>
      <c r="H166" s="136">
        <v>0</v>
      </c>
      <c r="I166" s="136">
        <v>373.65</v>
      </c>
      <c r="J166" s="134" t="s">
        <v>359</v>
      </c>
    </row>
    <row r="167" spans="1:10" x14ac:dyDescent="0.25">
      <c r="A167" s="131"/>
      <c r="B167" s="131"/>
      <c r="C167" s="137">
        <v>43588</v>
      </c>
      <c r="D167" s="134" t="s">
        <v>684</v>
      </c>
      <c r="E167" s="134" t="s">
        <v>621</v>
      </c>
      <c r="F167" s="134" t="s">
        <v>688</v>
      </c>
      <c r="G167" s="136">
        <v>51.86</v>
      </c>
      <c r="H167" s="136">
        <v>0</v>
      </c>
      <c r="I167" s="136">
        <v>425.51</v>
      </c>
      <c r="J167" s="134" t="s">
        <v>359</v>
      </c>
    </row>
    <row r="168" spans="1:10" x14ac:dyDescent="0.25">
      <c r="A168" s="131"/>
      <c r="B168" s="131"/>
      <c r="C168" s="137">
        <v>43604</v>
      </c>
      <c r="D168" s="134" t="s">
        <v>686</v>
      </c>
      <c r="E168" s="134" t="s">
        <v>621</v>
      </c>
      <c r="F168" s="134" t="s">
        <v>689</v>
      </c>
      <c r="G168" s="136">
        <v>281.81</v>
      </c>
      <c r="H168" s="136">
        <v>0</v>
      </c>
      <c r="I168" s="136">
        <v>707.32</v>
      </c>
      <c r="J168" s="134" t="s">
        <v>359</v>
      </c>
    </row>
    <row r="169" spans="1:10" x14ac:dyDescent="0.25">
      <c r="A169" s="131"/>
      <c r="B169" s="131"/>
      <c r="C169" s="137">
        <v>43619</v>
      </c>
      <c r="D169" s="134" t="s">
        <v>684</v>
      </c>
      <c r="E169" s="134" t="s">
        <v>621</v>
      </c>
      <c r="F169" s="134" t="s">
        <v>690</v>
      </c>
      <c r="G169" s="136">
        <v>53.43</v>
      </c>
      <c r="H169" s="136">
        <v>0</v>
      </c>
      <c r="I169" s="136">
        <v>760.75</v>
      </c>
      <c r="J169" s="134" t="s">
        <v>359</v>
      </c>
    </row>
    <row r="170" spans="1:10" x14ac:dyDescent="0.25">
      <c r="A170" s="131"/>
      <c r="B170" s="131"/>
      <c r="C170" s="137">
        <v>43635</v>
      </c>
      <c r="D170" s="134" t="s">
        <v>691</v>
      </c>
      <c r="E170" s="134" t="s">
        <v>621</v>
      </c>
      <c r="F170" s="134" t="s">
        <v>692</v>
      </c>
      <c r="G170" s="136">
        <v>280.83</v>
      </c>
      <c r="H170" s="136">
        <v>0</v>
      </c>
      <c r="I170" s="136">
        <v>1041.58</v>
      </c>
      <c r="J170" s="134" t="s">
        <v>359</v>
      </c>
    </row>
    <row r="171" spans="1:10" x14ac:dyDescent="0.25">
      <c r="A171" s="131"/>
      <c r="B171" s="131"/>
      <c r="C171" s="137">
        <v>43649</v>
      </c>
      <c r="D171" s="134" t="s">
        <v>684</v>
      </c>
      <c r="E171" s="134" t="s">
        <v>621</v>
      </c>
      <c r="F171" s="134" t="s">
        <v>693</v>
      </c>
      <c r="G171" s="136">
        <v>46.69</v>
      </c>
      <c r="H171" s="136">
        <v>0</v>
      </c>
      <c r="I171" s="136">
        <v>1088.27</v>
      </c>
      <c r="J171" s="134" t="s">
        <v>359</v>
      </c>
    </row>
    <row r="172" spans="1:10" x14ac:dyDescent="0.25">
      <c r="A172" s="131"/>
      <c r="B172" s="131"/>
      <c r="C172" s="137">
        <v>43665</v>
      </c>
      <c r="D172" s="134" t="s">
        <v>694</v>
      </c>
      <c r="E172" s="134" t="s">
        <v>621</v>
      </c>
      <c r="F172" s="134" t="s">
        <v>695</v>
      </c>
      <c r="G172" s="136">
        <v>289.49</v>
      </c>
      <c r="H172" s="136">
        <v>0</v>
      </c>
      <c r="I172" s="136">
        <v>1377.76</v>
      </c>
      <c r="J172" s="134" t="s">
        <v>359</v>
      </c>
    </row>
    <row r="173" spans="1:10" x14ac:dyDescent="0.25">
      <c r="A173" s="131"/>
      <c r="B173" s="131"/>
      <c r="C173" s="137">
        <v>43680</v>
      </c>
      <c r="D173" s="134" t="s">
        <v>684</v>
      </c>
      <c r="E173" s="134" t="s">
        <v>621</v>
      </c>
      <c r="F173" s="134" t="s">
        <v>696</v>
      </c>
      <c r="G173" s="136">
        <v>48.06</v>
      </c>
      <c r="H173" s="136">
        <v>0</v>
      </c>
      <c r="I173" s="136">
        <v>1425.82</v>
      </c>
      <c r="J173" s="134" t="s">
        <v>359</v>
      </c>
    </row>
    <row r="174" spans="1:10" x14ac:dyDescent="0.25">
      <c r="A174" s="131"/>
      <c r="B174" s="131"/>
      <c r="C174" s="137">
        <v>43696</v>
      </c>
      <c r="D174" s="134" t="s">
        <v>694</v>
      </c>
      <c r="E174" s="134" t="s">
        <v>621</v>
      </c>
      <c r="F174" s="134" t="s">
        <v>697</v>
      </c>
      <c r="G174" s="136">
        <v>298.08999999999997</v>
      </c>
      <c r="H174" s="136">
        <v>0</v>
      </c>
      <c r="I174" s="136">
        <v>1723.91</v>
      </c>
      <c r="J174" s="134" t="s">
        <v>359</v>
      </c>
    </row>
    <row r="175" spans="1:10" x14ac:dyDescent="0.25">
      <c r="A175" s="131"/>
      <c r="B175" s="131"/>
      <c r="C175" s="137">
        <v>43711</v>
      </c>
      <c r="D175" s="134" t="s">
        <v>684</v>
      </c>
      <c r="E175" s="134" t="s">
        <v>621</v>
      </c>
      <c r="F175" s="134" t="s">
        <v>698</v>
      </c>
      <c r="G175" s="136">
        <v>47.7</v>
      </c>
      <c r="H175" s="136">
        <v>0</v>
      </c>
      <c r="I175" s="136">
        <v>1771.61</v>
      </c>
      <c r="J175" s="134" t="s">
        <v>359</v>
      </c>
    </row>
    <row r="176" spans="1:10" x14ac:dyDescent="0.25">
      <c r="A176" s="131"/>
      <c r="B176" s="131"/>
      <c r="C176" s="137">
        <v>43727</v>
      </c>
      <c r="D176" s="134" t="s">
        <v>699</v>
      </c>
      <c r="E176" s="134" t="s">
        <v>621</v>
      </c>
      <c r="F176" s="134" t="s">
        <v>700</v>
      </c>
      <c r="G176" s="136">
        <v>297.04000000000002</v>
      </c>
      <c r="H176" s="136">
        <v>0</v>
      </c>
      <c r="I176" s="136">
        <v>2068.65</v>
      </c>
      <c r="J176" s="134" t="s">
        <v>359</v>
      </c>
    </row>
    <row r="177" spans="1:10" x14ac:dyDescent="0.25">
      <c r="A177" s="131"/>
      <c r="B177" s="131"/>
      <c r="C177" s="137">
        <v>43741</v>
      </c>
      <c r="D177" s="134" t="s">
        <v>684</v>
      </c>
      <c r="E177" s="134" t="s">
        <v>621</v>
      </c>
      <c r="F177" s="134" t="s">
        <v>701</v>
      </c>
      <c r="G177" s="136">
        <v>41.49</v>
      </c>
      <c r="H177" s="136">
        <v>0</v>
      </c>
      <c r="I177" s="136">
        <v>2110.14</v>
      </c>
      <c r="J177" s="134" t="s">
        <v>359</v>
      </c>
    </row>
    <row r="178" spans="1:10" x14ac:dyDescent="0.25">
      <c r="A178" s="131"/>
      <c r="B178" s="131"/>
      <c r="C178" s="137">
        <v>43759</v>
      </c>
      <c r="D178" s="134" t="s">
        <v>691</v>
      </c>
      <c r="E178" s="134" t="s">
        <v>621</v>
      </c>
      <c r="F178" s="134" t="s">
        <v>702</v>
      </c>
      <c r="G178" s="136">
        <v>305.54000000000002</v>
      </c>
      <c r="H178" s="136">
        <v>0</v>
      </c>
      <c r="I178" s="136">
        <v>2415.6799999999998</v>
      </c>
      <c r="J178" s="134" t="s">
        <v>359</v>
      </c>
    </row>
    <row r="179" spans="1:10" x14ac:dyDescent="0.25">
      <c r="A179" s="131"/>
      <c r="B179" s="131"/>
      <c r="C179" s="137">
        <v>43772</v>
      </c>
      <c r="D179" s="134" t="s">
        <v>684</v>
      </c>
      <c r="E179" s="134" t="s">
        <v>621</v>
      </c>
      <c r="F179" s="134" t="s">
        <v>703</v>
      </c>
      <c r="G179" s="136">
        <v>45.22</v>
      </c>
      <c r="H179" s="136">
        <v>0</v>
      </c>
      <c r="I179" s="136">
        <v>2460.9</v>
      </c>
      <c r="J179" s="134" t="s">
        <v>359</v>
      </c>
    </row>
    <row r="180" spans="1:10" x14ac:dyDescent="0.25">
      <c r="A180" s="131"/>
      <c r="B180" s="131"/>
      <c r="C180" s="137">
        <v>43788</v>
      </c>
      <c r="D180" s="134" t="s">
        <v>691</v>
      </c>
      <c r="E180" s="134" t="s">
        <v>621</v>
      </c>
      <c r="F180" s="134" t="s">
        <v>704</v>
      </c>
      <c r="G180" s="136">
        <v>275.91000000000003</v>
      </c>
      <c r="H180" s="136">
        <v>0</v>
      </c>
      <c r="I180" s="136">
        <v>2736.81</v>
      </c>
      <c r="J180" s="134" t="s">
        <v>359</v>
      </c>
    </row>
    <row r="181" spans="1:10" x14ac:dyDescent="0.25">
      <c r="A181" s="131"/>
      <c r="B181" s="131"/>
      <c r="C181" s="137">
        <v>43802</v>
      </c>
      <c r="D181" s="134" t="s">
        <v>684</v>
      </c>
      <c r="E181" s="134" t="s">
        <v>621</v>
      </c>
      <c r="F181" s="134" t="s">
        <v>705</v>
      </c>
      <c r="G181" s="136">
        <v>36.68</v>
      </c>
      <c r="H181" s="136">
        <v>0</v>
      </c>
      <c r="I181" s="136">
        <v>2773.49</v>
      </c>
      <c r="J181" s="134" t="s">
        <v>359</v>
      </c>
    </row>
    <row r="182" spans="1:10" x14ac:dyDescent="0.25">
      <c r="A182" s="131"/>
      <c r="B182" s="131"/>
      <c r="C182" s="137">
        <v>43818</v>
      </c>
      <c r="D182" s="134" t="s">
        <v>706</v>
      </c>
      <c r="E182" s="134" t="s">
        <v>621</v>
      </c>
      <c r="F182" s="134" t="s">
        <v>707</v>
      </c>
      <c r="G182" s="136">
        <v>284.41000000000003</v>
      </c>
      <c r="H182" s="136">
        <v>0</v>
      </c>
      <c r="I182" s="136">
        <v>3057.9</v>
      </c>
      <c r="J182" s="134" t="s">
        <v>359</v>
      </c>
    </row>
    <row r="183" spans="1:10" x14ac:dyDescent="0.25">
      <c r="A183" s="131"/>
      <c r="B183" s="131"/>
      <c r="C183" s="137">
        <v>43832</v>
      </c>
      <c r="D183" s="134" t="s">
        <v>684</v>
      </c>
      <c r="E183" s="134" t="s">
        <v>621</v>
      </c>
      <c r="F183" s="134" t="s">
        <v>708</v>
      </c>
      <c r="G183" s="136">
        <v>38.72</v>
      </c>
      <c r="H183" s="136">
        <v>0</v>
      </c>
      <c r="I183" s="136">
        <v>3096.62</v>
      </c>
      <c r="J183" s="134" t="s">
        <v>359</v>
      </c>
    </row>
    <row r="184" spans="1:10" x14ac:dyDescent="0.25">
      <c r="A184" s="131"/>
      <c r="B184" s="131"/>
      <c r="C184" s="137">
        <v>43850</v>
      </c>
      <c r="D184" s="134" t="s">
        <v>706</v>
      </c>
      <c r="E184" s="134" t="s">
        <v>621</v>
      </c>
      <c r="F184" s="134" t="s">
        <v>709</v>
      </c>
      <c r="G184" s="136">
        <v>302.29000000000002</v>
      </c>
      <c r="H184" s="136">
        <v>0</v>
      </c>
      <c r="I184" s="136">
        <v>3398.91</v>
      </c>
      <c r="J184" s="134" t="s">
        <v>359</v>
      </c>
    </row>
    <row r="185" spans="1:10" x14ac:dyDescent="0.25">
      <c r="A185" s="131"/>
      <c r="B185" s="131"/>
      <c r="C185" s="137">
        <v>43864</v>
      </c>
      <c r="D185" s="134" t="s">
        <v>684</v>
      </c>
      <c r="E185" s="134" t="s">
        <v>621</v>
      </c>
      <c r="F185" s="134" t="s">
        <v>710</v>
      </c>
      <c r="G185" s="136">
        <v>38.03</v>
      </c>
      <c r="H185" s="136">
        <v>0</v>
      </c>
      <c r="I185" s="136">
        <v>3436.94</v>
      </c>
      <c r="J185" s="134" t="s">
        <v>359</v>
      </c>
    </row>
    <row r="186" spans="1:10" x14ac:dyDescent="0.25">
      <c r="A186" s="131"/>
      <c r="B186" s="131"/>
      <c r="C186" s="137">
        <v>43880</v>
      </c>
      <c r="D186" s="134" t="s">
        <v>706</v>
      </c>
      <c r="E186" s="134" t="s">
        <v>621</v>
      </c>
      <c r="F186" s="134" t="s">
        <v>711</v>
      </c>
      <c r="G186" s="136">
        <v>282.38</v>
      </c>
      <c r="H186" s="136">
        <v>0</v>
      </c>
      <c r="I186" s="136">
        <v>3719.32</v>
      </c>
      <c r="J186" s="134" t="s">
        <v>359</v>
      </c>
    </row>
    <row r="187" spans="1:10" x14ac:dyDescent="0.25">
      <c r="A187" s="131"/>
      <c r="B187" s="131"/>
      <c r="C187" s="137">
        <v>43893</v>
      </c>
      <c r="D187" s="134" t="s">
        <v>684</v>
      </c>
      <c r="E187" s="134" t="s">
        <v>621</v>
      </c>
      <c r="F187" s="134" t="s">
        <v>712</v>
      </c>
      <c r="G187" s="136">
        <v>31.56</v>
      </c>
      <c r="H187" s="136">
        <v>0</v>
      </c>
      <c r="I187" s="136">
        <v>3750.88</v>
      </c>
      <c r="J187" s="134" t="s">
        <v>359</v>
      </c>
    </row>
    <row r="188" spans="1:10" x14ac:dyDescent="0.25">
      <c r="A188" s="131"/>
      <c r="B188" s="131"/>
      <c r="C188" s="137">
        <v>43909</v>
      </c>
      <c r="D188" s="134" t="s">
        <v>706</v>
      </c>
      <c r="E188" s="134" t="s">
        <v>621</v>
      </c>
      <c r="F188" s="134" t="s">
        <v>713</v>
      </c>
      <c r="G188" s="136">
        <v>258.27999999999997</v>
      </c>
      <c r="H188" s="136">
        <v>0</v>
      </c>
      <c r="I188" s="136">
        <v>4009.16</v>
      </c>
      <c r="J188" s="134" t="s">
        <v>359</v>
      </c>
    </row>
    <row r="189" spans="1:10" x14ac:dyDescent="0.25">
      <c r="A189" s="131"/>
      <c r="B189" s="131"/>
      <c r="C189" s="137">
        <v>43921</v>
      </c>
      <c r="D189" s="134" t="s">
        <v>714</v>
      </c>
      <c r="E189" s="134" t="s">
        <v>715</v>
      </c>
      <c r="F189" s="134" t="s">
        <v>716</v>
      </c>
      <c r="G189" s="138">
        <v>4723.08</v>
      </c>
      <c r="H189" s="138">
        <v>0</v>
      </c>
      <c r="I189" s="136">
        <v>8732.24</v>
      </c>
      <c r="J189" s="134" t="s">
        <v>359</v>
      </c>
    </row>
    <row r="190" spans="1:10" x14ac:dyDescent="0.25">
      <c r="A190" s="131"/>
      <c r="B190" s="131"/>
      <c r="C190" s="131"/>
      <c r="D190" s="131"/>
      <c r="E190" s="131"/>
      <c r="F190" s="131"/>
      <c r="G190" s="136">
        <f>SUBTOTAL(9,G165:G189)</f>
        <v>8732.239999999998</v>
      </c>
      <c r="H190" s="136">
        <f>SUBTOTAL(9,H165:H189)</f>
        <v>0</v>
      </c>
    </row>
    <row r="192" spans="1:10" x14ac:dyDescent="0.25">
      <c r="A192" s="130" t="s">
        <v>717</v>
      </c>
      <c r="B192" s="130" t="s">
        <v>718</v>
      </c>
      <c r="C192" s="135"/>
      <c r="D192" s="135"/>
      <c r="E192" s="135"/>
      <c r="F192" s="135"/>
      <c r="G192" s="135"/>
      <c r="H192" s="135"/>
      <c r="I192" s="136">
        <v>0</v>
      </c>
      <c r="J192" s="134" t="s">
        <v>359</v>
      </c>
    </row>
    <row r="194" spans="1:10" x14ac:dyDescent="0.25">
      <c r="A194" s="130" t="s">
        <v>719</v>
      </c>
      <c r="B194" s="130" t="s">
        <v>720</v>
      </c>
      <c r="C194" s="135"/>
      <c r="D194" s="135"/>
      <c r="E194" s="135"/>
      <c r="F194" s="135"/>
      <c r="G194" s="135"/>
      <c r="H194" s="135"/>
      <c r="I194" s="136">
        <v>0</v>
      </c>
      <c r="J194" s="134" t="s">
        <v>359</v>
      </c>
    </row>
    <row r="195" spans="1:10" x14ac:dyDescent="0.25">
      <c r="A195" s="131"/>
      <c r="B195" s="131"/>
      <c r="C195" s="137">
        <v>43558</v>
      </c>
      <c r="D195" s="134" t="s">
        <v>684</v>
      </c>
      <c r="E195" s="134" t="s">
        <v>621</v>
      </c>
      <c r="F195" s="134" t="s">
        <v>685</v>
      </c>
      <c r="G195" s="136">
        <v>527.70000000000005</v>
      </c>
      <c r="H195" s="136">
        <v>0</v>
      </c>
      <c r="I195" s="136">
        <v>527.70000000000005</v>
      </c>
      <c r="J195" s="134" t="s">
        <v>359</v>
      </c>
    </row>
    <row r="196" spans="1:10" x14ac:dyDescent="0.25">
      <c r="A196" s="131"/>
      <c r="B196" s="131"/>
      <c r="C196" s="137">
        <v>43577</v>
      </c>
      <c r="D196" s="134" t="s">
        <v>686</v>
      </c>
      <c r="E196" s="134" t="s">
        <v>621</v>
      </c>
      <c r="F196" s="134" t="s">
        <v>687</v>
      </c>
      <c r="G196" s="136">
        <v>278</v>
      </c>
      <c r="H196" s="136">
        <v>0</v>
      </c>
      <c r="I196" s="136">
        <v>805.7</v>
      </c>
      <c r="J196" s="134" t="s">
        <v>359</v>
      </c>
    </row>
    <row r="197" spans="1:10" x14ac:dyDescent="0.25">
      <c r="A197" s="131"/>
      <c r="B197" s="131"/>
      <c r="C197" s="137">
        <v>43588</v>
      </c>
      <c r="D197" s="134" t="s">
        <v>684</v>
      </c>
      <c r="E197" s="134" t="s">
        <v>621</v>
      </c>
      <c r="F197" s="134" t="s">
        <v>688</v>
      </c>
      <c r="G197" s="136">
        <v>527.69000000000005</v>
      </c>
      <c r="H197" s="136">
        <v>0</v>
      </c>
      <c r="I197" s="136">
        <v>1333.39</v>
      </c>
      <c r="J197" s="134" t="s">
        <v>359</v>
      </c>
    </row>
    <row r="198" spans="1:10" x14ac:dyDescent="0.25">
      <c r="A198" s="131"/>
      <c r="B198" s="131"/>
      <c r="C198" s="137">
        <v>43604</v>
      </c>
      <c r="D198" s="134" t="s">
        <v>686</v>
      </c>
      <c r="E198" s="134" t="s">
        <v>621</v>
      </c>
      <c r="F198" s="134" t="s">
        <v>689</v>
      </c>
      <c r="G198" s="136">
        <v>278</v>
      </c>
      <c r="H198" s="136">
        <v>0</v>
      </c>
      <c r="I198" s="136">
        <v>1611.39</v>
      </c>
      <c r="J198" s="134" t="s">
        <v>359</v>
      </c>
    </row>
    <row r="199" spans="1:10" x14ac:dyDescent="0.25">
      <c r="A199" s="131"/>
      <c r="B199" s="131"/>
      <c r="C199" s="137">
        <v>43619</v>
      </c>
      <c r="D199" s="134" t="s">
        <v>684</v>
      </c>
      <c r="E199" s="134" t="s">
        <v>621</v>
      </c>
      <c r="F199" s="134" t="s">
        <v>690</v>
      </c>
      <c r="G199" s="136">
        <v>526.12</v>
      </c>
      <c r="H199" s="136">
        <v>0</v>
      </c>
      <c r="I199" s="136">
        <v>2137.5100000000002</v>
      </c>
      <c r="J199" s="134" t="s">
        <v>359</v>
      </c>
    </row>
    <row r="200" spans="1:10" x14ac:dyDescent="0.25">
      <c r="A200" s="131"/>
      <c r="B200" s="131"/>
      <c r="C200" s="137">
        <v>43635</v>
      </c>
      <c r="D200" s="134" t="s">
        <v>691</v>
      </c>
      <c r="E200" s="134" t="s">
        <v>621</v>
      </c>
      <c r="F200" s="134" t="s">
        <v>692</v>
      </c>
      <c r="G200" s="136">
        <v>278</v>
      </c>
      <c r="H200" s="136">
        <v>0</v>
      </c>
      <c r="I200" s="136">
        <v>2415.5100000000002</v>
      </c>
      <c r="J200" s="134" t="s">
        <v>359</v>
      </c>
    </row>
    <row r="201" spans="1:10" x14ac:dyDescent="0.25">
      <c r="A201" s="131"/>
      <c r="B201" s="131"/>
      <c r="C201" s="137">
        <v>43649</v>
      </c>
      <c r="D201" s="134" t="s">
        <v>684</v>
      </c>
      <c r="E201" s="134" t="s">
        <v>621</v>
      </c>
      <c r="F201" s="134" t="s">
        <v>693</v>
      </c>
      <c r="G201" s="136">
        <v>532.86</v>
      </c>
      <c r="H201" s="136">
        <v>0</v>
      </c>
      <c r="I201" s="136">
        <v>2948.37</v>
      </c>
      <c r="J201" s="134" t="s">
        <v>359</v>
      </c>
    </row>
    <row r="202" spans="1:10" x14ac:dyDescent="0.25">
      <c r="A202" s="131"/>
      <c r="B202" s="131"/>
      <c r="C202" s="137">
        <v>43665</v>
      </c>
      <c r="D202" s="134" t="s">
        <v>694</v>
      </c>
      <c r="E202" s="134" t="s">
        <v>621</v>
      </c>
      <c r="F202" s="134" t="s">
        <v>695</v>
      </c>
      <c r="G202" s="136">
        <v>278</v>
      </c>
      <c r="H202" s="136">
        <v>0</v>
      </c>
      <c r="I202" s="136">
        <v>3226.37</v>
      </c>
      <c r="J202" s="134" t="s">
        <v>359</v>
      </c>
    </row>
    <row r="203" spans="1:10" x14ac:dyDescent="0.25">
      <c r="A203" s="131"/>
      <c r="B203" s="131"/>
      <c r="C203" s="137">
        <v>43680</v>
      </c>
      <c r="D203" s="134" t="s">
        <v>684</v>
      </c>
      <c r="E203" s="134" t="s">
        <v>621</v>
      </c>
      <c r="F203" s="134" t="s">
        <v>696</v>
      </c>
      <c r="G203" s="136">
        <v>531.49</v>
      </c>
      <c r="H203" s="136">
        <v>0</v>
      </c>
      <c r="I203" s="136">
        <v>3757.86</v>
      </c>
      <c r="J203" s="134" t="s">
        <v>359</v>
      </c>
    </row>
    <row r="204" spans="1:10" x14ac:dyDescent="0.25">
      <c r="A204" s="131"/>
      <c r="B204" s="131"/>
      <c r="C204" s="137">
        <v>43696</v>
      </c>
      <c r="D204" s="134" t="s">
        <v>694</v>
      </c>
      <c r="E204" s="134" t="s">
        <v>621</v>
      </c>
      <c r="F204" s="134" t="s">
        <v>697</v>
      </c>
      <c r="G204" s="136">
        <v>278</v>
      </c>
      <c r="H204" s="136">
        <v>0</v>
      </c>
      <c r="I204" s="136">
        <v>4035.86</v>
      </c>
      <c r="J204" s="134" t="s">
        <v>359</v>
      </c>
    </row>
    <row r="205" spans="1:10" x14ac:dyDescent="0.25">
      <c r="A205" s="131"/>
      <c r="B205" s="131"/>
      <c r="C205" s="137">
        <v>43711</v>
      </c>
      <c r="D205" s="134" t="s">
        <v>684</v>
      </c>
      <c r="E205" s="134" t="s">
        <v>621</v>
      </c>
      <c r="F205" s="134" t="s">
        <v>698</v>
      </c>
      <c r="G205" s="136">
        <v>531.85</v>
      </c>
      <c r="H205" s="136">
        <v>0</v>
      </c>
      <c r="I205" s="136">
        <v>4567.71</v>
      </c>
      <c r="J205" s="134" t="s">
        <v>359</v>
      </c>
    </row>
    <row r="206" spans="1:10" x14ac:dyDescent="0.25">
      <c r="A206" s="131"/>
      <c r="B206" s="131"/>
      <c r="C206" s="137">
        <v>43727</v>
      </c>
      <c r="D206" s="134" t="s">
        <v>699</v>
      </c>
      <c r="E206" s="134" t="s">
        <v>621</v>
      </c>
      <c r="F206" s="134" t="s">
        <v>700</v>
      </c>
      <c r="G206" s="136">
        <v>278</v>
      </c>
      <c r="H206" s="136">
        <v>0</v>
      </c>
      <c r="I206" s="136">
        <v>4845.71</v>
      </c>
      <c r="J206" s="134" t="s">
        <v>359</v>
      </c>
    </row>
    <row r="207" spans="1:10" x14ac:dyDescent="0.25">
      <c r="A207" s="131"/>
      <c r="B207" s="131"/>
      <c r="C207" s="137">
        <v>43741</v>
      </c>
      <c r="D207" s="134" t="s">
        <v>684</v>
      </c>
      <c r="E207" s="134" t="s">
        <v>621</v>
      </c>
      <c r="F207" s="134" t="s">
        <v>701</v>
      </c>
      <c r="G207" s="136">
        <v>538.05999999999995</v>
      </c>
      <c r="H207" s="136">
        <v>0</v>
      </c>
      <c r="I207" s="136">
        <v>5383.77</v>
      </c>
      <c r="J207" s="134" t="s">
        <v>359</v>
      </c>
    </row>
    <row r="208" spans="1:10" x14ac:dyDescent="0.25">
      <c r="A208" s="131"/>
      <c r="B208" s="131"/>
      <c r="C208" s="137">
        <v>43759</v>
      </c>
      <c r="D208" s="134" t="s">
        <v>691</v>
      </c>
      <c r="E208" s="134" t="s">
        <v>621</v>
      </c>
      <c r="F208" s="134" t="s">
        <v>702</v>
      </c>
      <c r="G208" s="136">
        <v>278</v>
      </c>
      <c r="H208" s="136">
        <v>0</v>
      </c>
      <c r="I208" s="136">
        <v>5661.77</v>
      </c>
      <c r="J208" s="134" t="s">
        <v>359</v>
      </c>
    </row>
    <row r="209" spans="1:10" x14ac:dyDescent="0.25">
      <c r="A209" s="131"/>
      <c r="B209" s="131"/>
      <c r="C209" s="137">
        <v>43769</v>
      </c>
      <c r="D209" s="134" t="s">
        <v>721</v>
      </c>
      <c r="E209" s="134" t="s">
        <v>362</v>
      </c>
      <c r="F209" s="134" t="s">
        <v>722</v>
      </c>
      <c r="G209" s="138">
        <v>0</v>
      </c>
      <c r="H209" s="138">
        <v>5661.77</v>
      </c>
      <c r="I209" s="136">
        <v>0</v>
      </c>
      <c r="J209" s="134" t="s">
        <v>359</v>
      </c>
    </row>
    <row r="210" spans="1:10" x14ac:dyDescent="0.25">
      <c r="A210" s="131"/>
      <c r="B210" s="131"/>
      <c r="C210" s="131"/>
      <c r="D210" s="131"/>
      <c r="E210" s="131"/>
      <c r="F210" s="131"/>
      <c r="G210" s="136">
        <f>SUBTOTAL(9,G195:G209)</f>
        <v>5661.77</v>
      </c>
      <c r="H210" s="136">
        <f>SUBTOTAL(9,H195:H209)</f>
        <v>5661.77</v>
      </c>
    </row>
    <row r="212" spans="1:10" x14ac:dyDescent="0.25">
      <c r="A212" s="130" t="s">
        <v>723</v>
      </c>
      <c r="B212" s="130" t="s">
        <v>724</v>
      </c>
      <c r="C212" s="135"/>
      <c r="D212" s="135"/>
      <c r="E212" s="135"/>
      <c r="F212" s="135"/>
      <c r="G212" s="135"/>
      <c r="H212" s="135"/>
      <c r="I212" s="136">
        <v>0</v>
      </c>
      <c r="J212" s="134" t="s">
        <v>359</v>
      </c>
    </row>
    <row r="214" spans="1:10" x14ac:dyDescent="0.25">
      <c r="A214" s="130" t="s">
        <v>725</v>
      </c>
      <c r="B214" s="130" t="s">
        <v>726</v>
      </c>
      <c r="C214" s="135"/>
      <c r="D214" s="135"/>
      <c r="E214" s="135"/>
      <c r="F214" s="135"/>
      <c r="G214" s="135"/>
      <c r="H214" s="135"/>
      <c r="I214" s="136">
        <v>0</v>
      </c>
      <c r="J214" s="134" t="s">
        <v>359</v>
      </c>
    </row>
    <row r="215" spans="1:10" x14ac:dyDescent="0.25">
      <c r="A215" s="131"/>
      <c r="B215" s="131"/>
      <c r="C215" s="137">
        <v>43708</v>
      </c>
      <c r="D215" s="134" t="s">
        <v>727</v>
      </c>
      <c r="E215" s="134" t="s">
        <v>728</v>
      </c>
      <c r="F215" s="134" t="s">
        <v>729</v>
      </c>
      <c r="G215" s="136">
        <v>14679.5</v>
      </c>
      <c r="H215" s="136">
        <v>0</v>
      </c>
      <c r="I215" s="136">
        <v>14679.5</v>
      </c>
      <c r="J215" s="134" t="s">
        <v>359</v>
      </c>
    </row>
    <row r="217" spans="1:10" x14ac:dyDescent="0.25">
      <c r="A217" s="130" t="s">
        <v>730</v>
      </c>
      <c r="B217" s="130" t="s">
        <v>731</v>
      </c>
      <c r="C217" s="135"/>
      <c r="D217" s="135"/>
      <c r="E217" s="135"/>
      <c r="F217" s="135"/>
      <c r="G217" s="135"/>
      <c r="H217" s="135"/>
      <c r="I217" s="136">
        <v>0</v>
      </c>
      <c r="J217" s="134" t="s">
        <v>359</v>
      </c>
    </row>
    <row r="218" spans="1:10" x14ac:dyDescent="0.25">
      <c r="A218" s="131"/>
      <c r="B218" s="131"/>
      <c r="C218" s="137">
        <v>43585</v>
      </c>
      <c r="D218" s="134" t="s">
        <v>732</v>
      </c>
      <c r="E218" s="134" t="s">
        <v>733</v>
      </c>
      <c r="F218" s="134" t="s">
        <v>734</v>
      </c>
      <c r="G218" s="136">
        <v>2634.72</v>
      </c>
      <c r="H218" s="136">
        <v>0</v>
      </c>
      <c r="I218" s="136">
        <v>2634.72</v>
      </c>
      <c r="J218" s="134" t="s">
        <v>359</v>
      </c>
    </row>
    <row r="219" spans="1:10" x14ac:dyDescent="0.25">
      <c r="A219" s="131"/>
      <c r="B219" s="131"/>
      <c r="C219" s="137">
        <v>43616</v>
      </c>
      <c r="D219" s="134" t="s">
        <v>735</v>
      </c>
      <c r="E219" s="134" t="s">
        <v>736</v>
      </c>
      <c r="F219" s="134" t="s">
        <v>737</v>
      </c>
      <c r="G219" s="136">
        <v>1836.78</v>
      </c>
      <c r="H219" s="136">
        <v>0</v>
      </c>
      <c r="I219" s="136">
        <v>4471.5</v>
      </c>
      <c r="J219" s="134" t="s">
        <v>359</v>
      </c>
    </row>
    <row r="220" spans="1:10" x14ac:dyDescent="0.25">
      <c r="A220" s="131"/>
      <c r="B220" s="131"/>
      <c r="C220" s="137">
        <v>43646</v>
      </c>
      <c r="D220" s="134" t="s">
        <v>727</v>
      </c>
      <c r="E220" s="134" t="s">
        <v>738</v>
      </c>
      <c r="F220" s="134" t="s">
        <v>739</v>
      </c>
      <c r="G220" s="136">
        <v>7095</v>
      </c>
      <c r="H220" s="136">
        <v>0</v>
      </c>
      <c r="I220" s="136">
        <v>11566.5</v>
      </c>
      <c r="J220" s="134" t="s">
        <v>359</v>
      </c>
    </row>
    <row r="221" spans="1:10" x14ac:dyDescent="0.25">
      <c r="A221" s="131"/>
      <c r="B221" s="131"/>
      <c r="C221" s="137">
        <v>43646</v>
      </c>
      <c r="D221" s="134" t="s">
        <v>727</v>
      </c>
      <c r="E221" s="134" t="s">
        <v>740</v>
      </c>
      <c r="F221" s="134" t="s">
        <v>741</v>
      </c>
      <c r="G221" s="136">
        <v>242.22</v>
      </c>
      <c r="H221" s="136">
        <v>0</v>
      </c>
      <c r="I221" s="136">
        <v>11808.72</v>
      </c>
      <c r="J221" s="134" t="s">
        <v>359</v>
      </c>
    </row>
    <row r="222" spans="1:10" x14ac:dyDescent="0.25">
      <c r="A222" s="131"/>
      <c r="B222" s="131"/>
      <c r="C222" s="137">
        <v>43676</v>
      </c>
      <c r="D222" s="134" t="s">
        <v>742</v>
      </c>
      <c r="E222" s="134" t="s">
        <v>743</v>
      </c>
      <c r="F222" s="134" t="s">
        <v>744</v>
      </c>
      <c r="G222" s="136">
        <v>2029.09</v>
      </c>
      <c r="H222" s="136">
        <v>0</v>
      </c>
      <c r="I222" s="136">
        <v>13837.81</v>
      </c>
      <c r="J222" s="134" t="s">
        <v>359</v>
      </c>
    </row>
    <row r="223" spans="1:10" x14ac:dyDescent="0.25">
      <c r="A223" s="131"/>
      <c r="B223" s="131"/>
      <c r="C223" s="137">
        <v>43676</v>
      </c>
      <c r="D223" s="134" t="s">
        <v>745</v>
      </c>
      <c r="E223" s="134" t="s">
        <v>362</v>
      </c>
      <c r="F223" s="134" t="s">
        <v>746</v>
      </c>
      <c r="G223" s="136">
        <v>0</v>
      </c>
      <c r="H223" s="136">
        <v>2029.09</v>
      </c>
      <c r="I223" s="136">
        <v>11808.72</v>
      </c>
      <c r="J223" s="134" t="s">
        <v>359</v>
      </c>
    </row>
    <row r="224" spans="1:10" x14ac:dyDescent="0.25">
      <c r="A224" s="131"/>
      <c r="B224" s="131"/>
      <c r="C224" s="137">
        <v>43677</v>
      </c>
      <c r="D224" s="134" t="s">
        <v>727</v>
      </c>
      <c r="E224" s="134" t="s">
        <v>747</v>
      </c>
      <c r="F224" s="134" t="s">
        <v>748</v>
      </c>
      <c r="G224" s="136">
        <v>2178</v>
      </c>
      <c r="H224" s="136">
        <v>0</v>
      </c>
      <c r="I224" s="136">
        <v>13986.72</v>
      </c>
      <c r="J224" s="134" t="s">
        <v>359</v>
      </c>
    </row>
    <row r="225" spans="1:10" x14ac:dyDescent="0.25">
      <c r="A225" s="131"/>
      <c r="B225" s="131"/>
      <c r="C225" s="137">
        <v>43679</v>
      </c>
      <c r="D225" s="134" t="s">
        <v>727</v>
      </c>
      <c r="E225" s="134" t="s">
        <v>749</v>
      </c>
      <c r="F225" s="134" t="s">
        <v>750</v>
      </c>
      <c r="G225" s="136">
        <v>7095</v>
      </c>
      <c r="H225" s="136">
        <v>0</v>
      </c>
      <c r="I225" s="136">
        <v>21081.72</v>
      </c>
      <c r="J225" s="134" t="s">
        <v>359</v>
      </c>
    </row>
    <row r="226" spans="1:10" x14ac:dyDescent="0.25">
      <c r="A226" s="131"/>
      <c r="B226" s="131"/>
      <c r="C226" s="137">
        <v>43697</v>
      </c>
      <c r="D226" s="134" t="s">
        <v>751</v>
      </c>
      <c r="E226" s="134" t="s">
        <v>752</v>
      </c>
      <c r="F226" s="134" t="s">
        <v>753</v>
      </c>
      <c r="G226" s="136">
        <v>2750</v>
      </c>
      <c r="H226" s="136">
        <v>0</v>
      </c>
      <c r="I226" s="136">
        <v>23831.72</v>
      </c>
      <c r="J226" s="134" t="s">
        <v>359</v>
      </c>
    </row>
    <row r="227" spans="1:10" x14ac:dyDescent="0.25">
      <c r="A227" s="131"/>
      <c r="B227" s="131"/>
      <c r="C227" s="137">
        <v>43708</v>
      </c>
      <c r="D227" s="134" t="s">
        <v>727</v>
      </c>
      <c r="E227" s="134" t="s">
        <v>754</v>
      </c>
      <c r="F227" s="134" t="s">
        <v>755</v>
      </c>
      <c r="G227" s="136">
        <v>528</v>
      </c>
      <c r="H227" s="136">
        <v>0</v>
      </c>
      <c r="I227" s="136">
        <v>24359.72</v>
      </c>
      <c r="J227" s="134" t="s">
        <v>359</v>
      </c>
    </row>
    <row r="228" spans="1:10" x14ac:dyDescent="0.25">
      <c r="A228" s="131"/>
      <c r="B228" s="131"/>
      <c r="C228" s="137">
        <v>43721</v>
      </c>
      <c r="D228" s="134" t="s">
        <v>756</v>
      </c>
      <c r="E228" s="134" t="s">
        <v>757</v>
      </c>
      <c r="F228" s="134" t="s">
        <v>758</v>
      </c>
      <c r="G228" s="136">
        <v>8937.5</v>
      </c>
      <c r="H228" s="136">
        <v>0</v>
      </c>
      <c r="I228" s="136">
        <v>33297.22</v>
      </c>
      <c r="J228" s="134" t="s">
        <v>359</v>
      </c>
    </row>
    <row r="229" spans="1:10" x14ac:dyDescent="0.25">
      <c r="A229" s="131"/>
      <c r="B229" s="131"/>
      <c r="C229" s="137">
        <v>43738</v>
      </c>
      <c r="D229" s="134" t="s">
        <v>727</v>
      </c>
      <c r="E229" s="134" t="s">
        <v>759</v>
      </c>
      <c r="F229" s="134" t="s">
        <v>760</v>
      </c>
      <c r="G229" s="136">
        <v>445.5</v>
      </c>
      <c r="H229" s="136">
        <v>0</v>
      </c>
      <c r="I229" s="136">
        <v>33742.720000000001</v>
      </c>
      <c r="J229" s="134" t="s">
        <v>359</v>
      </c>
    </row>
    <row r="230" spans="1:10" x14ac:dyDescent="0.25">
      <c r="A230" s="131"/>
      <c r="B230" s="131"/>
      <c r="C230" s="137">
        <v>43747</v>
      </c>
      <c r="D230" s="134" t="s">
        <v>761</v>
      </c>
      <c r="E230" s="134" t="s">
        <v>366</v>
      </c>
      <c r="F230" s="134" t="s">
        <v>762</v>
      </c>
      <c r="G230" s="136">
        <v>1100</v>
      </c>
      <c r="H230" s="136">
        <v>0</v>
      </c>
      <c r="I230" s="136">
        <v>34842.720000000001</v>
      </c>
      <c r="J230" s="134" t="s">
        <v>359</v>
      </c>
    </row>
    <row r="231" spans="1:10" x14ac:dyDescent="0.25">
      <c r="A231" s="131"/>
      <c r="B231" s="131"/>
      <c r="C231" s="137">
        <v>43769</v>
      </c>
      <c r="D231" s="134" t="s">
        <v>727</v>
      </c>
      <c r="E231" s="134" t="s">
        <v>763</v>
      </c>
      <c r="F231" s="134" t="s">
        <v>764</v>
      </c>
      <c r="G231" s="136">
        <v>660</v>
      </c>
      <c r="H231" s="136">
        <v>0</v>
      </c>
      <c r="I231" s="136">
        <v>35502.720000000001</v>
      </c>
      <c r="J231" s="134" t="s">
        <v>359</v>
      </c>
    </row>
    <row r="232" spans="1:10" x14ac:dyDescent="0.25">
      <c r="A232" s="131"/>
      <c r="B232" s="131"/>
      <c r="C232" s="137">
        <v>43800</v>
      </c>
      <c r="D232" s="134" t="s">
        <v>727</v>
      </c>
      <c r="E232" s="134" t="s">
        <v>765</v>
      </c>
      <c r="F232" s="134" t="s">
        <v>766</v>
      </c>
      <c r="G232" s="136">
        <v>1897.5</v>
      </c>
      <c r="H232" s="136">
        <v>0</v>
      </c>
      <c r="I232" s="136">
        <v>37400.22</v>
      </c>
      <c r="J232" s="134" t="s">
        <v>359</v>
      </c>
    </row>
    <row r="233" spans="1:10" x14ac:dyDescent="0.25">
      <c r="A233" s="131"/>
      <c r="B233" s="131"/>
      <c r="C233" s="137">
        <v>43830</v>
      </c>
      <c r="D233" s="134" t="s">
        <v>727</v>
      </c>
      <c r="E233" s="134" t="s">
        <v>767</v>
      </c>
      <c r="F233" s="134" t="s">
        <v>768</v>
      </c>
      <c r="G233" s="136">
        <v>2321.2199999999998</v>
      </c>
      <c r="H233" s="136">
        <v>0</v>
      </c>
      <c r="I233" s="136">
        <v>39721.440000000002</v>
      </c>
      <c r="J233" s="134" t="s">
        <v>359</v>
      </c>
    </row>
    <row r="234" spans="1:10" x14ac:dyDescent="0.25">
      <c r="A234" s="131"/>
      <c r="B234" s="131"/>
      <c r="C234" s="137">
        <v>43860</v>
      </c>
      <c r="D234" s="134" t="s">
        <v>727</v>
      </c>
      <c r="E234" s="134" t="s">
        <v>769</v>
      </c>
      <c r="F234" s="134" t="s">
        <v>770</v>
      </c>
      <c r="G234" s="136">
        <v>1341.78</v>
      </c>
      <c r="H234" s="136">
        <v>0</v>
      </c>
      <c r="I234" s="136">
        <v>41063.22</v>
      </c>
      <c r="J234" s="134" t="s">
        <v>359</v>
      </c>
    </row>
    <row r="235" spans="1:10" x14ac:dyDescent="0.25">
      <c r="A235" s="131"/>
      <c r="B235" s="131"/>
      <c r="C235" s="137">
        <v>43890</v>
      </c>
      <c r="D235" s="134" t="s">
        <v>771</v>
      </c>
      <c r="E235" s="134" t="s">
        <v>772</v>
      </c>
      <c r="F235" s="134" t="s">
        <v>773</v>
      </c>
      <c r="G235" s="138">
        <v>1023</v>
      </c>
      <c r="H235" s="138">
        <v>0</v>
      </c>
      <c r="I235" s="136">
        <v>42086.22</v>
      </c>
      <c r="J235" s="134" t="s">
        <v>359</v>
      </c>
    </row>
    <row r="236" spans="1:10" x14ac:dyDescent="0.25">
      <c r="A236" s="131"/>
      <c r="B236" s="131"/>
      <c r="C236" s="131"/>
      <c r="D236" s="131"/>
      <c r="E236" s="131"/>
      <c r="F236" s="131"/>
      <c r="G236" s="136">
        <f>SUBTOTAL(9,G218:G235)</f>
        <v>44115.31</v>
      </c>
      <c r="H236" s="136">
        <f>SUBTOTAL(9,H218:H235)</f>
        <v>2029.09</v>
      </c>
    </row>
    <row r="238" spans="1:10" x14ac:dyDescent="0.25">
      <c r="A238" s="130" t="s">
        <v>774</v>
      </c>
      <c r="B238" s="130" t="s">
        <v>775</v>
      </c>
      <c r="C238" s="135"/>
      <c r="D238" s="135"/>
      <c r="E238" s="135"/>
      <c r="F238" s="135"/>
      <c r="G238" s="135"/>
      <c r="H238" s="135"/>
      <c r="I238" s="136">
        <v>0</v>
      </c>
      <c r="J238" s="134" t="s">
        <v>359</v>
      </c>
    </row>
    <row r="239" spans="1:10" x14ac:dyDescent="0.25">
      <c r="A239" s="131"/>
      <c r="B239" s="131"/>
      <c r="C239" s="137">
        <v>43711</v>
      </c>
      <c r="D239" s="134" t="s">
        <v>776</v>
      </c>
      <c r="E239" s="134" t="s">
        <v>777</v>
      </c>
      <c r="F239" s="134" t="s">
        <v>778</v>
      </c>
      <c r="G239" s="136">
        <v>187</v>
      </c>
      <c r="H239" s="136">
        <v>0</v>
      </c>
      <c r="I239" s="136">
        <v>187</v>
      </c>
      <c r="J239" s="134" t="s">
        <v>359</v>
      </c>
    </row>
    <row r="241" spans="1:10" x14ac:dyDescent="0.25">
      <c r="A241" s="130" t="s">
        <v>779</v>
      </c>
      <c r="B241" s="130" t="s">
        <v>780</v>
      </c>
      <c r="C241" s="135"/>
      <c r="D241" s="135"/>
      <c r="E241" s="135"/>
      <c r="F241" s="135"/>
      <c r="G241" s="135"/>
      <c r="H241" s="135"/>
      <c r="I241" s="136">
        <v>0</v>
      </c>
      <c r="J241" s="134" t="s">
        <v>359</v>
      </c>
    </row>
    <row r="242" spans="1:10" x14ac:dyDescent="0.25">
      <c r="A242" s="131"/>
      <c r="B242" s="131"/>
      <c r="C242" s="137">
        <v>43921</v>
      </c>
      <c r="D242" s="134" t="s">
        <v>781</v>
      </c>
      <c r="E242" s="134" t="s">
        <v>364</v>
      </c>
      <c r="F242" s="134" t="s">
        <v>782</v>
      </c>
      <c r="G242" s="136">
        <v>3628.13</v>
      </c>
      <c r="H242" s="136">
        <v>0</v>
      </c>
      <c r="I242" s="136">
        <v>3628.13</v>
      </c>
      <c r="J242" s="134" t="s">
        <v>359</v>
      </c>
    </row>
    <row r="244" spans="1:10" x14ac:dyDescent="0.25">
      <c r="A244" s="130" t="s">
        <v>783</v>
      </c>
      <c r="B244" s="130" t="s">
        <v>784</v>
      </c>
      <c r="C244" s="135"/>
      <c r="D244" s="135"/>
      <c r="E244" s="135"/>
      <c r="F244" s="135"/>
      <c r="G244" s="135"/>
      <c r="H244" s="135"/>
      <c r="I244" s="136">
        <v>0</v>
      </c>
      <c r="J244" s="134" t="s">
        <v>359</v>
      </c>
    </row>
    <row r="245" spans="1:10" x14ac:dyDescent="0.25">
      <c r="A245" s="131"/>
      <c r="B245" s="131"/>
      <c r="C245" s="137">
        <v>43676</v>
      </c>
      <c r="D245" s="134" t="s">
        <v>745</v>
      </c>
      <c r="E245" s="134" t="s">
        <v>362</v>
      </c>
      <c r="F245" s="134" t="s">
        <v>746</v>
      </c>
      <c r="G245" s="136">
        <v>2029.09</v>
      </c>
      <c r="H245" s="136">
        <v>0</v>
      </c>
      <c r="I245" s="136">
        <v>2029.09</v>
      </c>
      <c r="J245" s="134" t="s">
        <v>359</v>
      </c>
    </row>
    <row r="247" spans="1:10" x14ac:dyDescent="0.25">
      <c r="A247" s="130" t="s">
        <v>785</v>
      </c>
      <c r="B247" s="130" t="s">
        <v>786</v>
      </c>
      <c r="C247" s="135"/>
      <c r="D247" s="135"/>
      <c r="E247" s="135"/>
      <c r="F247" s="135"/>
      <c r="G247" s="135"/>
      <c r="H247" s="135"/>
      <c r="I247" s="136">
        <v>0</v>
      </c>
      <c r="J247" s="134" t="s">
        <v>359</v>
      </c>
    </row>
    <row r="248" spans="1:10" x14ac:dyDescent="0.25">
      <c r="A248" s="131"/>
      <c r="B248" s="131"/>
      <c r="C248" s="137">
        <v>43585</v>
      </c>
      <c r="D248" s="134" t="s">
        <v>547</v>
      </c>
      <c r="E248" s="134" t="s">
        <v>418</v>
      </c>
      <c r="F248" s="134" t="s">
        <v>548</v>
      </c>
      <c r="G248" s="136">
        <v>41.49</v>
      </c>
      <c r="H248" s="136">
        <v>0</v>
      </c>
      <c r="I248" s="136">
        <v>41.49</v>
      </c>
      <c r="J248" s="134" t="s">
        <v>359</v>
      </c>
    </row>
    <row r="249" spans="1:10" x14ac:dyDescent="0.25">
      <c r="A249" s="131"/>
      <c r="B249" s="131"/>
      <c r="C249" s="137">
        <v>43628</v>
      </c>
      <c r="D249" s="134" t="s">
        <v>787</v>
      </c>
      <c r="E249" s="134" t="s">
        <v>788</v>
      </c>
      <c r="F249" s="134" t="s">
        <v>789</v>
      </c>
      <c r="G249" s="136">
        <v>434.62</v>
      </c>
      <c r="H249" s="136">
        <v>0</v>
      </c>
      <c r="I249" s="136">
        <v>476.11</v>
      </c>
      <c r="J249" s="134" t="s">
        <v>359</v>
      </c>
    </row>
    <row r="250" spans="1:10" x14ac:dyDescent="0.25">
      <c r="A250" s="131"/>
      <c r="B250" s="131"/>
      <c r="C250" s="137">
        <v>43646</v>
      </c>
      <c r="D250" s="134" t="s">
        <v>535</v>
      </c>
      <c r="E250" s="134" t="s">
        <v>420</v>
      </c>
      <c r="F250" s="134" t="s">
        <v>564</v>
      </c>
      <c r="G250" s="136">
        <v>141.25</v>
      </c>
      <c r="H250" s="136">
        <v>0</v>
      </c>
      <c r="I250" s="136">
        <v>617.36</v>
      </c>
      <c r="J250" s="134" t="s">
        <v>359</v>
      </c>
    </row>
    <row r="251" spans="1:10" x14ac:dyDescent="0.25">
      <c r="A251" s="131"/>
      <c r="B251" s="131"/>
      <c r="C251" s="137">
        <v>43677</v>
      </c>
      <c r="D251" s="134" t="s">
        <v>569</v>
      </c>
      <c r="E251" s="134" t="s">
        <v>422</v>
      </c>
      <c r="F251" s="134" t="s">
        <v>570</v>
      </c>
      <c r="G251" s="136">
        <v>271.69</v>
      </c>
      <c r="H251" s="136">
        <v>0</v>
      </c>
      <c r="I251" s="136">
        <v>889.05</v>
      </c>
      <c r="J251" s="134" t="s">
        <v>359</v>
      </c>
    </row>
    <row r="252" spans="1:10" x14ac:dyDescent="0.25">
      <c r="A252" s="131"/>
      <c r="B252" s="131"/>
      <c r="C252" s="137">
        <v>43708</v>
      </c>
      <c r="D252" s="134" t="s">
        <v>586</v>
      </c>
      <c r="E252" s="134" t="s">
        <v>529</v>
      </c>
      <c r="F252" s="134" t="s">
        <v>587</v>
      </c>
      <c r="G252" s="136">
        <v>60.87</v>
      </c>
      <c r="H252" s="136">
        <v>0</v>
      </c>
      <c r="I252" s="136">
        <v>949.92</v>
      </c>
      <c r="J252" s="134" t="s">
        <v>359</v>
      </c>
    </row>
    <row r="253" spans="1:10" x14ac:dyDescent="0.25">
      <c r="A253" s="131"/>
      <c r="B253" s="131"/>
      <c r="C253" s="137">
        <v>43738</v>
      </c>
      <c r="D253" s="134" t="s">
        <v>535</v>
      </c>
      <c r="E253" s="134" t="s">
        <v>425</v>
      </c>
      <c r="F253" s="134" t="s">
        <v>595</v>
      </c>
      <c r="G253" s="136">
        <v>49.2</v>
      </c>
      <c r="H253" s="136">
        <v>0</v>
      </c>
      <c r="I253" s="136">
        <v>999.12</v>
      </c>
      <c r="J253" s="134" t="s">
        <v>359</v>
      </c>
    </row>
    <row r="254" spans="1:10" x14ac:dyDescent="0.25">
      <c r="A254" s="131"/>
      <c r="B254" s="131"/>
      <c r="C254" s="137">
        <v>43810</v>
      </c>
      <c r="D254" s="134" t="s">
        <v>790</v>
      </c>
      <c r="E254" s="134" t="s">
        <v>791</v>
      </c>
      <c r="F254" s="134" t="s">
        <v>792</v>
      </c>
      <c r="G254" s="136">
        <v>75.62</v>
      </c>
      <c r="H254" s="136">
        <v>0</v>
      </c>
      <c r="I254" s="136">
        <v>1074.74</v>
      </c>
      <c r="J254" s="134" t="s">
        <v>359</v>
      </c>
    </row>
    <row r="255" spans="1:10" x14ac:dyDescent="0.25">
      <c r="A255" s="131"/>
      <c r="B255" s="131"/>
      <c r="C255" s="137">
        <v>43818</v>
      </c>
      <c r="D255" s="134" t="s">
        <v>787</v>
      </c>
      <c r="E255" s="134" t="s">
        <v>793</v>
      </c>
      <c r="F255" s="134" t="s">
        <v>794</v>
      </c>
      <c r="G255" s="136">
        <v>42.44</v>
      </c>
      <c r="H255" s="136">
        <v>0</v>
      </c>
      <c r="I255" s="136">
        <v>1117.18</v>
      </c>
      <c r="J255" s="134" t="s">
        <v>359</v>
      </c>
    </row>
    <row r="256" spans="1:10" x14ac:dyDescent="0.25">
      <c r="A256" s="131"/>
      <c r="B256" s="131"/>
      <c r="C256" s="137">
        <v>43818</v>
      </c>
      <c r="D256" s="134" t="s">
        <v>795</v>
      </c>
      <c r="E256" s="134" t="s">
        <v>793</v>
      </c>
      <c r="F256" s="134" t="s">
        <v>796</v>
      </c>
      <c r="G256" s="136">
        <v>42.44</v>
      </c>
      <c r="H256" s="136">
        <v>0</v>
      </c>
      <c r="I256" s="136">
        <v>1159.6199999999999</v>
      </c>
      <c r="J256" s="134" t="s">
        <v>359</v>
      </c>
    </row>
    <row r="257" spans="1:10" x14ac:dyDescent="0.25">
      <c r="A257" s="131"/>
      <c r="B257" s="131"/>
      <c r="C257" s="137">
        <v>43861</v>
      </c>
      <c r="D257" s="134" t="s">
        <v>535</v>
      </c>
      <c r="E257" s="134" t="s">
        <v>443</v>
      </c>
      <c r="F257" s="134" t="s">
        <v>536</v>
      </c>
      <c r="G257" s="136">
        <v>51.01</v>
      </c>
      <c r="H257" s="136">
        <v>0</v>
      </c>
      <c r="I257" s="136">
        <v>1210.6300000000001</v>
      </c>
      <c r="J257" s="134" t="s">
        <v>359</v>
      </c>
    </row>
    <row r="258" spans="1:10" x14ac:dyDescent="0.25">
      <c r="A258" s="131"/>
      <c r="B258" s="131"/>
      <c r="C258" s="137">
        <v>43890</v>
      </c>
      <c r="D258" s="134" t="s">
        <v>535</v>
      </c>
      <c r="E258" s="134" t="s">
        <v>607</v>
      </c>
      <c r="F258" s="134" t="s">
        <v>608</v>
      </c>
      <c r="G258" s="136">
        <v>50.02</v>
      </c>
      <c r="H258" s="136">
        <v>0</v>
      </c>
      <c r="I258" s="136">
        <v>1260.6500000000001</v>
      </c>
      <c r="J258" s="134" t="s">
        <v>359</v>
      </c>
    </row>
    <row r="259" spans="1:10" x14ac:dyDescent="0.25">
      <c r="A259" s="131"/>
      <c r="B259" s="131"/>
      <c r="C259" s="137">
        <v>43921</v>
      </c>
      <c r="D259" s="134" t="s">
        <v>797</v>
      </c>
      <c r="E259" s="134" t="s">
        <v>454</v>
      </c>
      <c r="F259" s="134" t="s">
        <v>798</v>
      </c>
      <c r="G259" s="138">
        <v>40.5</v>
      </c>
      <c r="H259" s="138">
        <v>0</v>
      </c>
      <c r="I259" s="136">
        <v>1301.1500000000001</v>
      </c>
      <c r="J259" s="134" t="s">
        <v>359</v>
      </c>
    </row>
    <row r="260" spans="1:10" x14ac:dyDescent="0.25">
      <c r="A260" s="131"/>
      <c r="B260" s="131"/>
      <c r="C260" s="131"/>
      <c r="D260" s="131"/>
      <c r="E260" s="131"/>
      <c r="F260" s="131"/>
      <c r="G260" s="136">
        <f>SUBTOTAL(9,G248:G259)</f>
        <v>1301.1500000000001</v>
      </c>
      <c r="H260" s="136">
        <f>SUBTOTAL(9,H248:H259)</f>
        <v>0</v>
      </c>
    </row>
    <row r="262" spans="1:10" x14ac:dyDescent="0.25">
      <c r="A262" s="130" t="s">
        <v>799</v>
      </c>
      <c r="B262" s="130" t="s">
        <v>800</v>
      </c>
      <c r="C262" s="135"/>
      <c r="D262" s="135"/>
      <c r="E262" s="135"/>
      <c r="F262" s="135"/>
      <c r="G262" s="135"/>
      <c r="H262" s="135"/>
      <c r="I262" s="136">
        <v>0</v>
      </c>
      <c r="J262" s="134" t="s">
        <v>359</v>
      </c>
    </row>
    <row r="263" spans="1:10" x14ac:dyDescent="0.25">
      <c r="A263" s="131"/>
      <c r="B263" s="131"/>
      <c r="C263" s="137">
        <v>43613</v>
      </c>
      <c r="D263" s="134" t="s">
        <v>801</v>
      </c>
      <c r="E263" s="134" t="s">
        <v>802</v>
      </c>
      <c r="F263" s="134" t="s">
        <v>803</v>
      </c>
      <c r="G263" s="136">
        <v>32.93</v>
      </c>
      <c r="H263" s="136">
        <v>0</v>
      </c>
      <c r="I263" s="136">
        <v>32.93</v>
      </c>
      <c r="J263" s="134" t="s">
        <v>359</v>
      </c>
    </row>
    <row r="264" spans="1:10" x14ac:dyDescent="0.25">
      <c r="A264" s="131"/>
      <c r="B264" s="131"/>
      <c r="C264" s="137">
        <v>43640</v>
      </c>
      <c r="D264" s="134" t="s">
        <v>790</v>
      </c>
      <c r="E264" s="134" t="s">
        <v>804</v>
      </c>
      <c r="F264" s="134" t="s">
        <v>805</v>
      </c>
      <c r="G264" s="136">
        <v>66</v>
      </c>
      <c r="H264" s="136">
        <v>0</v>
      </c>
      <c r="I264" s="136">
        <v>98.93</v>
      </c>
      <c r="J264" s="134" t="s">
        <v>359</v>
      </c>
    </row>
    <row r="265" spans="1:10" x14ac:dyDescent="0.25">
      <c r="A265" s="131"/>
      <c r="B265" s="131"/>
      <c r="C265" s="137">
        <v>43640</v>
      </c>
      <c r="D265" s="134" t="s">
        <v>790</v>
      </c>
      <c r="E265" s="134" t="s">
        <v>806</v>
      </c>
      <c r="F265" s="134" t="s">
        <v>807</v>
      </c>
      <c r="G265" s="136">
        <v>34.28</v>
      </c>
      <c r="H265" s="136">
        <v>0</v>
      </c>
      <c r="I265" s="136">
        <v>133.21</v>
      </c>
      <c r="J265" s="134" t="s">
        <v>359</v>
      </c>
    </row>
    <row r="266" spans="1:10" x14ac:dyDescent="0.25">
      <c r="A266" s="131"/>
      <c r="B266" s="131"/>
      <c r="C266" s="137">
        <v>43646</v>
      </c>
      <c r="D266" s="134" t="s">
        <v>535</v>
      </c>
      <c r="E266" s="134" t="s">
        <v>420</v>
      </c>
      <c r="F266" s="134" t="s">
        <v>564</v>
      </c>
      <c r="G266" s="136">
        <v>183.76</v>
      </c>
      <c r="H266" s="136">
        <v>0</v>
      </c>
      <c r="I266" s="136">
        <v>316.97000000000003</v>
      </c>
      <c r="J266" s="134" t="s">
        <v>359</v>
      </c>
    </row>
    <row r="267" spans="1:10" x14ac:dyDescent="0.25">
      <c r="A267" s="131"/>
      <c r="B267" s="131"/>
      <c r="C267" s="137">
        <v>43663</v>
      </c>
      <c r="D267" s="134" t="s">
        <v>787</v>
      </c>
      <c r="E267" s="134" t="s">
        <v>808</v>
      </c>
      <c r="F267" s="134" t="s">
        <v>809</v>
      </c>
      <c r="G267" s="136">
        <v>27.49</v>
      </c>
      <c r="H267" s="136">
        <v>0</v>
      </c>
      <c r="I267" s="136">
        <v>344.46</v>
      </c>
      <c r="J267" s="134" t="s">
        <v>359</v>
      </c>
    </row>
    <row r="268" spans="1:10" x14ac:dyDescent="0.25">
      <c r="A268" s="131"/>
      <c r="B268" s="131"/>
      <c r="C268" s="137">
        <v>43663</v>
      </c>
      <c r="D268" s="134" t="s">
        <v>549</v>
      </c>
      <c r="E268" s="134" t="s">
        <v>565</v>
      </c>
      <c r="F268" s="134" t="s">
        <v>566</v>
      </c>
      <c r="G268" s="136">
        <v>10.220000000000001</v>
      </c>
      <c r="H268" s="136">
        <v>0</v>
      </c>
      <c r="I268" s="136">
        <v>354.68</v>
      </c>
      <c r="J268" s="134" t="s">
        <v>359</v>
      </c>
    </row>
    <row r="269" spans="1:10" x14ac:dyDescent="0.25">
      <c r="A269" s="131"/>
      <c r="B269" s="131"/>
      <c r="C269" s="137">
        <v>43664</v>
      </c>
      <c r="D269" s="134" t="s">
        <v>787</v>
      </c>
      <c r="E269" s="134" t="s">
        <v>810</v>
      </c>
      <c r="F269" s="134" t="s">
        <v>811</v>
      </c>
      <c r="G269" s="136">
        <v>52.8</v>
      </c>
      <c r="H269" s="136">
        <v>0</v>
      </c>
      <c r="I269" s="136">
        <v>407.48</v>
      </c>
      <c r="J269" s="134" t="s">
        <v>359</v>
      </c>
    </row>
    <row r="270" spans="1:10" x14ac:dyDescent="0.25">
      <c r="A270" s="131"/>
      <c r="B270" s="131"/>
      <c r="C270" s="137">
        <v>43677</v>
      </c>
      <c r="D270" s="134" t="s">
        <v>569</v>
      </c>
      <c r="E270" s="134" t="s">
        <v>422</v>
      </c>
      <c r="F270" s="134" t="s">
        <v>570</v>
      </c>
      <c r="G270" s="136">
        <v>163.18</v>
      </c>
      <c r="H270" s="136">
        <v>0</v>
      </c>
      <c r="I270" s="136">
        <v>570.66</v>
      </c>
      <c r="J270" s="134" t="s">
        <v>359</v>
      </c>
    </row>
    <row r="271" spans="1:10" x14ac:dyDescent="0.25">
      <c r="A271" s="131"/>
      <c r="B271" s="131"/>
      <c r="C271" s="137">
        <v>43685</v>
      </c>
      <c r="D271" s="134" t="s">
        <v>787</v>
      </c>
      <c r="E271" s="134" t="s">
        <v>812</v>
      </c>
      <c r="F271" s="134" t="s">
        <v>813</v>
      </c>
      <c r="G271" s="136">
        <v>53.98</v>
      </c>
      <c r="H271" s="136">
        <v>0</v>
      </c>
      <c r="I271" s="136">
        <v>624.64</v>
      </c>
      <c r="J271" s="134" t="s">
        <v>359</v>
      </c>
    </row>
    <row r="272" spans="1:10" x14ac:dyDescent="0.25">
      <c r="A272" s="131"/>
      <c r="B272" s="131"/>
      <c r="C272" s="137">
        <v>43697</v>
      </c>
      <c r="D272" s="134" t="s">
        <v>790</v>
      </c>
      <c r="E272" s="134" t="s">
        <v>814</v>
      </c>
      <c r="F272" s="134" t="s">
        <v>815</v>
      </c>
      <c r="G272" s="136">
        <v>20.16</v>
      </c>
      <c r="H272" s="136">
        <v>0</v>
      </c>
      <c r="I272" s="136">
        <v>644.79999999999995</v>
      </c>
      <c r="J272" s="134" t="s">
        <v>359</v>
      </c>
    </row>
    <row r="273" spans="1:10" x14ac:dyDescent="0.25">
      <c r="A273" s="131"/>
      <c r="B273" s="131"/>
      <c r="C273" s="137">
        <v>43701</v>
      </c>
      <c r="D273" s="134" t="s">
        <v>787</v>
      </c>
      <c r="E273" s="134" t="s">
        <v>816</v>
      </c>
      <c r="F273" s="134" t="s">
        <v>817</v>
      </c>
      <c r="G273" s="136">
        <v>106.45</v>
      </c>
      <c r="H273" s="136">
        <v>0</v>
      </c>
      <c r="I273" s="136">
        <v>751.25</v>
      </c>
      <c r="J273" s="134" t="s">
        <v>359</v>
      </c>
    </row>
    <row r="274" spans="1:10" x14ac:dyDescent="0.25">
      <c r="A274" s="131"/>
      <c r="B274" s="131"/>
      <c r="C274" s="137">
        <v>43704</v>
      </c>
      <c r="D274" s="134" t="s">
        <v>787</v>
      </c>
      <c r="E274" s="134" t="s">
        <v>818</v>
      </c>
      <c r="F274" s="134" t="s">
        <v>819</v>
      </c>
      <c r="G274" s="136">
        <v>53.98</v>
      </c>
      <c r="H274" s="136">
        <v>0</v>
      </c>
      <c r="I274" s="136">
        <v>805.23</v>
      </c>
      <c r="J274" s="134" t="s">
        <v>359</v>
      </c>
    </row>
    <row r="275" spans="1:10" x14ac:dyDescent="0.25">
      <c r="A275" s="131"/>
      <c r="B275" s="131"/>
      <c r="C275" s="137">
        <v>43708</v>
      </c>
      <c r="D275" s="134" t="s">
        <v>586</v>
      </c>
      <c r="E275" s="134" t="s">
        <v>529</v>
      </c>
      <c r="F275" s="134" t="s">
        <v>587</v>
      </c>
      <c r="G275" s="136">
        <v>254.67</v>
      </c>
      <c r="H275" s="136">
        <v>0</v>
      </c>
      <c r="I275" s="136">
        <v>1059.9000000000001</v>
      </c>
      <c r="J275" s="134" t="s">
        <v>359</v>
      </c>
    </row>
    <row r="276" spans="1:10" x14ac:dyDescent="0.25">
      <c r="A276" s="131"/>
      <c r="B276" s="131"/>
      <c r="C276" s="137">
        <v>43738</v>
      </c>
      <c r="D276" s="134" t="s">
        <v>535</v>
      </c>
      <c r="E276" s="134" t="s">
        <v>425</v>
      </c>
      <c r="F276" s="134" t="s">
        <v>595</v>
      </c>
      <c r="G276" s="136">
        <v>274.85000000000002</v>
      </c>
      <c r="H276" s="136">
        <v>0</v>
      </c>
      <c r="I276" s="136">
        <v>1334.75</v>
      </c>
      <c r="J276" s="134" t="s">
        <v>359</v>
      </c>
    </row>
    <row r="277" spans="1:10" x14ac:dyDescent="0.25">
      <c r="A277" s="131"/>
      <c r="B277" s="131"/>
      <c r="C277" s="137">
        <v>43769</v>
      </c>
      <c r="D277" s="134" t="s">
        <v>535</v>
      </c>
      <c r="E277" s="134" t="s">
        <v>427</v>
      </c>
      <c r="F277" s="134" t="s">
        <v>596</v>
      </c>
      <c r="G277" s="138">
        <v>60</v>
      </c>
      <c r="H277" s="138">
        <v>0</v>
      </c>
      <c r="I277" s="136">
        <v>1394.75</v>
      </c>
      <c r="J277" s="134" t="s">
        <v>359</v>
      </c>
    </row>
    <row r="278" spans="1:10" x14ac:dyDescent="0.25">
      <c r="A278" s="131"/>
      <c r="B278" s="131"/>
      <c r="C278" s="131"/>
      <c r="D278" s="131"/>
      <c r="E278" s="131"/>
      <c r="F278" s="131"/>
      <c r="G278" s="136">
        <f>SUBTOTAL(9,G263:G277)</f>
        <v>1394.75</v>
      </c>
      <c r="H278" s="136">
        <f>SUBTOTAL(9,H263:H277)</f>
        <v>0</v>
      </c>
    </row>
    <row r="280" spans="1:10" x14ac:dyDescent="0.25">
      <c r="A280" s="130" t="s">
        <v>820</v>
      </c>
      <c r="B280" s="130" t="s">
        <v>821</v>
      </c>
      <c r="C280" s="135"/>
      <c r="D280" s="135"/>
      <c r="E280" s="135"/>
      <c r="F280" s="135"/>
      <c r="G280" s="135"/>
      <c r="H280" s="135"/>
      <c r="I280" s="136">
        <v>913</v>
      </c>
      <c r="J280" s="134" t="s">
        <v>359</v>
      </c>
    </row>
    <row r="281" spans="1:10" x14ac:dyDescent="0.25">
      <c r="A281" s="131"/>
      <c r="B281" s="131"/>
      <c r="C281" s="137">
        <v>43586</v>
      </c>
      <c r="D281" s="134" t="s">
        <v>822</v>
      </c>
      <c r="E281" s="134" t="s">
        <v>823</v>
      </c>
      <c r="F281" s="134" t="s">
        <v>824</v>
      </c>
      <c r="G281" s="136">
        <v>913</v>
      </c>
      <c r="H281" s="136">
        <v>0</v>
      </c>
      <c r="I281" s="136">
        <v>1826</v>
      </c>
      <c r="J281" s="134" t="s">
        <v>359</v>
      </c>
    </row>
    <row r="282" spans="1:10" x14ac:dyDescent="0.25">
      <c r="A282" s="131"/>
      <c r="B282" s="131"/>
      <c r="C282" s="137">
        <v>43617</v>
      </c>
      <c r="D282" s="134" t="s">
        <v>822</v>
      </c>
      <c r="E282" s="134" t="s">
        <v>825</v>
      </c>
      <c r="F282" s="134" t="s">
        <v>826</v>
      </c>
      <c r="G282" s="136">
        <v>913</v>
      </c>
      <c r="H282" s="136">
        <v>0</v>
      </c>
      <c r="I282" s="136">
        <v>2739</v>
      </c>
      <c r="J282" s="134" t="s">
        <v>359</v>
      </c>
    </row>
    <row r="283" spans="1:10" x14ac:dyDescent="0.25">
      <c r="A283" s="131"/>
      <c r="B283" s="131"/>
      <c r="C283" s="137">
        <v>43647</v>
      </c>
      <c r="D283" s="134" t="s">
        <v>822</v>
      </c>
      <c r="E283" s="134" t="s">
        <v>827</v>
      </c>
      <c r="F283" s="134" t="s">
        <v>828</v>
      </c>
      <c r="G283" s="136">
        <v>913</v>
      </c>
      <c r="H283" s="136">
        <v>0</v>
      </c>
      <c r="I283" s="136">
        <v>3652</v>
      </c>
      <c r="J283" s="134" t="s">
        <v>359</v>
      </c>
    </row>
    <row r="284" spans="1:10" x14ac:dyDescent="0.25">
      <c r="A284" s="131"/>
      <c r="B284" s="131"/>
      <c r="C284" s="137">
        <v>43678</v>
      </c>
      <c r="D284" s="134" t="s">
        <v>822</v>
      </c>
      <c r="E284" s="134" t="s">
        <v>829</v>
      </c>
      <c r="F284" s="134" t="s">
        <v>830</v>
      </c>
      <c r="G284" s="136">
        <v>913</v>
      </c>
      <c r="H284" s="136">
        <v>0</v>
      </c>
      <c r="I284" s="136">
        <v>4565</v>
      </c>
      <c r="J284" s="134" t="s">
        <v>359</v>
      </c>
    </row>
    <row r="285" spans="1:10" x14ac:dyDescent="0.25">
      <c r="A285" s="131"/>
      <c r="B285" s="131"/>
      <c r="C285" s="137">
        <v>43709</v>
      </c>
      <c r="D285" s="134" t="s">
        <v>831</v>
      </c>
      <c r="E285" s="134" t="s">
        <v>832</v>
      </c>
      <c r="F285" s="134" t="s">
        <v>833</v>
      </c>
      <c r="G285" s="136">
        <v>913</v>
      </c>
      <c r="H285" s="136">
        <v>0</v>
      </c>
      <c r="I285" s="136">
        <v>5478</v>
      </c>
      <c r="J285" s="134" t="s">
        <v>359</v>
      </c>
    </row>
    <row r="286" spans="1:10" x14ac:dyDescent="0.25">
      <c r="A286" s="131"/>
      <c r="B286" s="131"/>
      <c r="C286" s="137">
        <v>43739</v>
      </c>
      <c r="D286" s="134" t="s">
        <v>822</v>
      </c>
      <c r="E286" s="134" t="s">
        <v>834</v>
      </c>
      <c r="F286" s="134" t="s">
        <v>835</v>
      </c>
      <c r="G286" s="136">
        <v>913</v>
      </c>
      <c r="H286" s="136">
        <v>0</v>
      </c>
      <c r="I286" s="136">
        <v>6391</v>
      </c>
      <c r="J286" s="134" t="s">
        <v>359</v>
      </c>
    </row>
    <row r="287" spans="1:10" x14ac:dyDescent="0.25">
      <c r="A287" s="131"/>
      <c r="B287" s="131"/>
      <c r="C287" s="137">
        <v>43770</v>
      </c>
      <c r="D287" s="134" t="s">
        <v>822</v>
      </c>
      <c r="E287" s="134" t="s">
        <v>836</v>
      </c>
      <c r="F287" s="134" t="s">
        <v>837</v>
      </c>
      <c r="G287" s="136">
        <v>913</v>
      </c>
      <c r="H287" s="136">
        <v>0</v>
      </c>
      <c r="I287" s="136">
        <v>7304</v>
      </c>
      <c r="J287" s="134" t="s">
        <v>359</v>
      </c>
    </row>
    <row r="288" spans="1:10" x14ac:dyDescent="0.25">
      <c r="A288" s="131"/>
      <c r="B288" s="131"/>
      <c r="C288" s="137">
        <v>43800</v>
      </c>
      <c r="D288" s="134" t="s">
        <v>822</v>
      </c>
      <c r="E288" s="134" t="s">
        <v>838</v>
      </c>
      <c r="F288" s="134" t="s">
        <v>839</v>
      </c>
      <c r="G288" s="136">
        <v>913</v>
      </c>
      <c r="H288" s="136">
        <v>0</v>
      </c>
      <c r="I288" s="136">
        <v>8217</v>
      </c>
      <c r="J288" s="134" t="s">
        <v>359</v>
      </c>
    </row>
    <row r="289" spans="1:10" x14ac:dyDescent="0.25">
      <c r="A289" s="131"/>
      <c r="B289" s="131"/>
      <c r="C289" s="137">
        <v>43831</v>
      </c>
      <c r="D289" s="134" t="s">
        <v>822</v>
      </c>
      <c r="E289" s="134" t="s">
        <v>840</v>
      </c>
      <c r="F289" s="134" t="s">
        <v>841</v>
      </c>
      <c r="G289" s="136">
        <v>913</v>
      </c>
      <c r="H289" s="136">
        <v>0</v>
      </c>
      <c r="I289" s="136">
        <v>9130</v>
      </c>
      <c r="J289" s="134" t="s">
        <v>359</v>
      </c>
    </row>
    <row r="290" spans="1:10" x14ac:dyDescent="0.25">
      <c r="A290" s="131"/>
      <c r="B290" s="131"/>
      <c r="C290" s="137">
        <v>43862</v>
      </c>
      <c r="D290" s="134" t="s">
        <v>822</v>
      </c>
      <c r="E290" s="134" t="s">
        <v>842</v>
      </c>
      <c r="F290" s="134" t="s">
        <v>843</v>
      </c>
      <c r="G290" s="136">
        <v>913</v>
      </c>
      <c r="H290" s="136">
        <v>0</v>
      </c>
      <c r="I290" s="136">
        <v>10043</v>
      </c>
      <c r="J290" s="134" t="s">
        <v>359</v>
      </c>
    </row>
    <row r="291" spans="1:10" x14ac:dyDescent="0.25">
      <c r="A291" s="131"/>
      <c r="B291" s="131"/>
      <c r="C291" s="137">
        <v>43891</v>
      </c>
      <c r="D291" s="134" t="s">
        <v>822</v>
      </c>
      <c r="E291" s="134" t="s">
        <v>844</v>
      </c>
      <c r="F291" s="134" t="s">
        <v>845</v>
      </c>
      <c r="G291" s="138">
        <v>913</v>
      </c>
      <c r="H291" s="138">
        <v>0</v>
      </c>
      <c r="I291" s="136">
        <v>10956</v>
      </c>
      <c r="J291" s="134" t="s">
        <v>359</v>
      </c>
    </row>
    <row r="292" spans="1:10" x14ac:dyDescent="0.25">
      <c r="A292" s="131"/>
      <c r="B292" s="131"/>
      <c r="C292" s="131"/>
      <c r="D292" s="131"/>
      <c r="E292" s="131"/>
      <c r="F292" s="131"/>
      <c r="G292" s="136">
        <f>SUBTOTAL(9,G281:G291)</f>
        <v>10043</v>
      </c>
      <c r="H292" s="136">
        <f>SUBTOTAL(9,H281:H291)</f>
        <v>0</v>
      </c>
    </row>
    <row r="294" spans="1:10" x14ac:dyDescent="0.25">
      <c r="A294" s="130" t="s">
        <v>846</v>
      </c>
      <c r="B294" s="130" t="s">
        <v>847</v>
      </c>
      <c r="C294" s="135"/>
      <c r="D294" s="135"/>
      <c r="E294" s="135"/>
      <c r="F294" s="135"/>
      <c r="G294" s="135"/>
      <c r="H294" s="135"/>
      <c r="I294" s="136">
        <v>0</v>
      </c>
      <c r="J294" s="134" t="s">
        <v>359</v>
      </c>
    </row>
    <row r="295" spans="1:10" x14ac:dyDescent="0.25">
      <c r="A295" s="131"/>
      <c r="B295" s="131"/>
      <c r="C295" s="137">
        <v>43655</v>
      </c>
      <c r="D295" s="134" t="s">
        <v>848</v>
      </c>
      <c r="E295" s="134" t="s">
        <v>849</v>
      </c>
      <c r="F295" s="134" t="s">
        <v>850</v>
      </c>
      <c r="G295" s="136">
        <v>855.64</v>
      </c>
      <c r="H295" s="136">
        <v>0</v>
      </c>
      <c r="I295" s="136">
        <v>855.64</v>
      </c>
      <c r="J295" s="134" t="s">
        <v>359</v>
      </c>
    </row>
    <row r="296" spans="1:10" x14ac:dyDescent="0.25">
      <c r="A296" s="131"/>
      <c r="B296" s="131"/>
      <c r="C296" s="137">
        <v>43713</v>
      </c>
      <c r="D296" s="134" t="s">
        <v>851</v>
      </c>
      <c r="E296" s="134" t="s">
        <v>852</v>
      </c>
      <c r="F296" s="134" t="s">
        <v>853</v>
      </c>
      <c r="G296" s="136">
        <v>165</v>
      </c>
      <c r="H296" s="136">
        <v>0</v>
      </c>
      <c r="I296" s="136">
        <v>1020.64</v>
      </c>
      <c r="J296" s="134" t="s">
        <v>359</v>
      </c>
    </row>
    <row r="297" spans="1:10" x14ac:dyDescent="0.25">
      <c r="A297" s="131"/>
      <c r="B297" s="131"/>
      <c r="C297" s="137">
        <v>43750</v>
      </c>
      <c r="D297" s="134" t="s">
        <v>854</v>
      </c>
      <c r="E297" s="134" t="s">
        <v>855</v>
      </c>
      <c r="F297" s="134" t="s">
        <v>856</v>
      </c>
      <c r="G297" s="136">
        <v>69.3</v>
      </c>
      <c r="H297" s="136">
        <v>0</v>
      </c>
      <c r="I297" s="136">
        <v>1089.94</v>
      </c>
      <c r="J297" s="134" t="s">
        <v>359</v>
      </c>
    </row>
    <row r="298" spans="1:10" x14ac:dyDescent="0.25">
      <c r="A298" s="131"/>
      <c r="B298" s="131"/>
      <c r="C298" s="137">
        <v>43788</v>
      </c>
      <c r="D298" s="134" t="s">
        <v>857</v>
      </c>
      <c r="E298" s="134" t="s">
        <v>858</v>
      </c>
      <c r="F298" s="134" t="s">
        <v>859</v>
      </c>
      <c r="G298" s="136">
        <v>110</v>
      </c>
      <c r="H298" s="136">
        <v>0</v>
      </c>
      <c r="I298" s="136">
        <v>1199.94</v>
      </c>
      <c r="J298" s="134" t="s">
        <v>359</v>
      </c>
    </row>
    <row r="299" spans="1:10" x14ac:dyDescent="0.25">
      <c r="A299" s="131"/>
      <c r="B299" s="131"/>
      <c r="C299" s="137">
        <v>43788</v>
      </c>
      <c r="D299" s="134" t="s">
        <v>860</v>
      </c>
      <c r="E299" s="134" t="s">
        <v>861</v>
      </c>
      <c r="F299" s="134" t="s">
        <v>862</v>
      </c>
      <c r="G299" s="136">
        <v>65</v>
      </c>
      <c r="H299" s="136">
        <v>0</v>
      </c>
      <c r="I299" s="136">
        <v>1264.94</v>
      </c>
      <c r="J299" s="134" t="s">
        <v>359</v>
      </c>
    </row>
    <row r="300" spans="1:10" x14ac:dyDescent="0.25">
      <c r="A300" s="131"/>
      <c r="B300" s="131"/>
      <c r="C300" s="137">
        <v>43799</v>
      </c>
      <c r="D300" s="134" t="s">
        <v>863</v>
      </c>
      <c r="E300" s="134" t="s">
        <v>864</v>
      </c>
      <c r="F300" s="134" t="s">
        <v>865</v>
      </c>
      <c r="G300" s="136">
        <v>65.040000000000006</v>
      </c>
      <c r="H300" s="136">
        <v>0</v>
      </c>
      <c r="I300" s="136">
        <v>1329.98</v>
      </c>
      <c r="J300" s="134" t="s">
        <v>359</v>
      </c>
    </row>
    <row r="301" spans="1:10" x14ac:dyDescent="0.25">
      <c r="A301" s="131"/>
      <c r="B301" s="131"/>
      <c r="C301" s="137">
        <v>43818</v>
      </c>
      <c r="D301" s="134" t="s">
        <v>851</v>
      </c>
      <c r="E301" s="134" t="s">
        <v>866</v>
      </c>
      <c r="F301" s="134" t="s">
        <v>867</v>
      </c>
      <c r="G301" s="136">
        <v>165</v>
      </c>
      <c r="H301" s="136">
        <v>0</v>
      </c>
      <c r="I301" s="136">
        <v>1494.98</v>
      </c>
      <c r="J301" s="134" t="s">
        <v>359</v>
      </c>
    </row>
    <row r="302" spans="1:10" x14ac:dyDescent="0.25">
      <c r="A302" s="131"/>
      <c r="B302" s="131"/>
      <c r="C302" s="137">
        <v>43904</v>
      </c>
      <c r="D302" s="134" t="s">
        <v>854</v>
      </c>
      <c r="E302" s="134" t="s">
        <v>868</v>
      </c>
      <c r="F302" s="134" t="s">
        <v>869</v>
      </c>
      <c r="G302" s="138">
        <v>409.2</v>
      </c>
      <c r="H302" s="138">
        <v>0</v>
      </c>
      <c r="I302" s="136">
        <v>1904.18</v>
      </c>
      <c r="J302" s="134" t="s">
        <v>359</v>
      </c>
    </row>
    <row r="303" spans="1:10" x14ac:dyDescent="0.25">
      <c r="A303" s="131"/>
      <c r="B303" s="131"/>
      <c r="C303" s="131"/>
      <c r="D303" s="131"/>
      <c r="E303" s="131"/>
      <c r="F303" s="131"/>
      <c r="G303" s="136">
        <f>SUBTOTAL(9,G295:G302)</f>
        <v>1904.18</v>
      </c>
      <c r="H303" s="136">
        <f>SUBTOTAL(9,H295:H302)</f>
        <v>0</v>
      </c>
    </row>
    <row r="305" spans="1:10" x14ac:dyDescent="0.25">
      <c r="A305" s="130" t="s">
        <v>870</v>
      </c>
      <c r="B305" s="130" t="s">
        <v>871</v>
      </c>
      <c r="C305" s="135"/>
      <c r="D305" s="135"/>
      <c r="E305" s="135"/>
      <c r="F305" s="135"/>
      <c r="G305" s="135"/>
      <c r="H305" s="135"/>
      <c r="I305" s="136">
        <v>0</v>
      </c>
      <c r="J305" s="134" t="s">
        <v>359</v>
      </c>
    </row>
    <row r="306" spans="1:10" x14ac:dyDescent="0.25">
      <c r="A306" s="131"/>
      <c r="B306" s="131"/>
      <c r="C306" s="137">
        <v>43572</v>
      </c>
      <c r="D306" s="134" t="s">
        <v>872</v>
      </c>
      <c r="E306" s="134" t="s">
        <v>418</v>
      </c>
      <c r="F306" s="134" t="s">
        <v>873</v>
      </c>
      <c r="G306" s="136">
        <v>25</v>
      </c>
      <c r="H306" s="136">
        <v>0</v>
      </c>
      <c r="I306" s="136">
        <v>25</v>
      </c>
      <c r="J306" s="134" t="s">
        <v>359</v>
      </c>
    </row>
    <row r="307" spans="1:10" x14ac:dyDescent="0.25">
      <c r="A307" s="131"/>
      <c r="B307" s="131"/>
      <c r="C307" s="137">
        <v>43572</v>
      </c>
      <c r="D307" s="134" t="s">
        <v>874</v>
      </c>
      <c r="E307" s="134" t="s">
        <v>875</v>
      </c>
      <c r="F307" s="134" t="s">
        <v>876</v>
      </c>
      <c r="G307" s="136">
        <v>100</v>
      </c>
      <c r="H307" s="136">
        <v>0</v>
      </c>
      <c r="I307" s="136">
        <v>125</v>
      </c>
      <c r="J307" s="134" t="s">
        <v>359</v>
      </c>
    </row>
    <row r="308" spans="1:10" x14ac:dyDescent="0.25">
      <c r="A308" s="131"/>
      <c r="B308" s="131"/>
      <c r="C308" s="137">
        <v>43578</v>
      </c>
      <c r="D308" s="134" t="s">
        <v>877</v>
      </c>
      <c r="E308" s="134" t="s">
        <v>418</v>
      </c>
      <c r="F308" s="134" t="s">
        <v>878</v>
      </c>
      <c r="G308" s="136">
        <v>800</v>
      </c>
      <c r="H308" s="136">
        <v>0</v>
      </c>
      <c r="I308" s="136">
        <v>925</v>
      </c>
      <c r="J308" s="134" t="s">
        <v>359</v>
      </c>
    </row>
    <row r="309" spans="1:10" x14ac:dyDescent="0.25">
      <c r="A309" s="131"/>
      <c r="B309" s="131"/>
      <c r="C309" s="137">
        <v>43606</v>
      </c>
      <c r="D309" s="134" t="s">
        <v>879</v>
      </c>
      <c r="E309" s="134" t="s">
        <v>880</v>
      </c>
      <c r="F309" s="134" t="s">
        <v>881</v>
      </c>
      <c r="G309" s="136">
        <v>250</v>
      </c>
      <c r="H309" s="136">
        <v>0</v>
      </c>
      <c r="I309" s="136">
        <v>1175</v>
      </c>
      <c r="J309" s="134" t="s">
        <v>359</v>
      </c>
    </row>
    <row r="310" spans="1:10" x14ac:dyDescent="0.25">
      <c r="A310" s="131"/>
      <c r="B310" s="131"/>
      <c r="C310" s="137">
        <v>43606</v>
      </c>
      <c r="D310" s="134" t="s">
        <v>882</v>
      </c>
      <c r="E310" s="134" t="s">
        <v>883</v>
      </c>
      <c r="F310" s="134" t="s">
        <v>884</v>
      </c>
      <c r="G310" s="136">
        <v>100</v>
      </c>
      <c r="H310" s="136">
        <v>0</v>
      </c>
      <c r="I310" s="136">
        <v>1275</v>
      </c>
      <c r="J310" s="134" t="s">
        <v>359</v>
      </c>
    </row>
    <row r="311" spans="1:10" x14ac:dyDescent="0.25">
      <c r="A311" s="131"/>
      <c r="B311" s="131"/>
      <c r="C311" s="137">
        <v>43616</v>
      </c>
      <c r="D311" s="134" t="s">
        <v>571</v>
      </c>
      <c r="E311" s="134" t="s">
        <v>464</v>
      </c>
      <c r="F311" s="134" t="s">
        <v>885</v>
      </c>
      <c r="G311" s="136">
        <v>243.58</v>
      </c>
      <c r="H311" s="136">
        <v>0</v>
      </c>
      <c r="I311" s="136">
        <v>1518.58</v>
      </c>
      <c r="J311" s="134" t="s">
        <v>359</v>
      </c>
    </row>
    <row r="312" spans="1:10" x14ac:dyDescent="0.25">
      <c r="A312" s="131"/>
      <c r="B312" s="131"/>
      <c r="C312" s="137">
        <v>43634</v>
      </c>
      <c r="D312" s="134" t="s">
        <v>886</v>
      </c>
      <c r="E312" s="134" t="s">
        <v>420</v>
      </c>
      <c r="F312" s="134" t="s">
        <v>887</v>
      </c>
      <c r="G312" s="136">
        <v>500</v>
      </c>
      <c r="H312" s="136">
        <v>0</v>
      </c>
      <c r="I312" s="136">
        <v>2018.58</v>
      </c>
      <c r="J312" s="134" t="s">
        <v>359</v>
      </c>
    </row>
    <row r="313" spans="1:10" x14ac:dyDescent="0.25">
      <c r="A313" s="131"/>
      <c r="B313" s="131"/>
      <c r="C313" s="137">
        <v>43635</v>
      </c>
      <c r="D313" s="134" t="s">
        <v>888</v>
      </c>
      <c r="E313" s="134" t="s">
        <v>420</v>
      </c>
      <c r="F313" s="134" t="s">
        <v>889</v>
      </c>
      <c r="G313" s="136">
        <v>200</v>
      </c>
      <c r="H313" s="136">
        <v>0</v>
      </c>
      <c r="I313" s="136">
        <v>2218.58</v>
      </c>
      <c r="J313" s="134" t="s">
        <v>359</v>
      </c>
    </row>
    <row r="314" spans="1:10" x14ac:dyDescent="0.25">
      <c r="A314" s="131"/>
      <c r="B314" s="131"/>
      <c r="C314" s="137">
        <v>43662</v>
      </c>
      <c r="D314" s="134" t="s">
        <v>890</v>
      </c>
      <c r="E314" s="134" t="s">
        <v>422</v>
      </c>
      <c r="F314" s="134" t="s">
        <v>891</v>
      </c>
      <c r="G314" s="136">
        <v>350</v>
      </c>
      <c r="H314" s="136">
        <v>0</v>
      </c>
      <c r="I314" s="136">
        <v>2568.58</v>
      </c>
      <c r="J314" s="134" t="s">
        <v>359</v>
      </c>
    </row>
    <row r="315" spans="1:10" x14ac:dyDescent="0.25">
      <c r="A315" s="131"/>
      <c r="B315" s="131"/>
      <c r="C315" s="137">
        <v>43788</v>
      </c>
      <c r="D315" s="134" t="s">
        <v>892</v>
      </c>
      <c r="E315" s="134" t="s">
        <v>893</v>
      </c>
      <c r="F315" s="134" t="s">
        <v>894</v>
      </c>
      <c r="G315" s="136">
        <v>25</v>
      </c>
      <c r="H315" s="136">
        <v>0</v>
      </c>
      <c r="I315" s="136">
        <v>2593.58</v>
      </c>
      <c r="J315" s="134" t="s">
        <v>359</v>
      </c>
    </row>
    <row r="316" spans="1:10" x14ac:dyDescent="0.25">
      <c r="A316" s="131"/>
      <c r="B316" s="131"/>
      <c r="C316" s="137">
        <v>43879</v>
      </c>
      <c r="D316" s="134" t="s">
        <v>895</v>
      </c>
      <c r="E316" s="134" t="s">
        <v>409</v>
      </c>
      <c r="F316" s="134" t="s">
        <v>896</v>
      </c>
      <c r="G316" s="138">
        <v>200</v>
      </c>
      <c r="H316" s="138">
        <v>0</v>
      </c>
      <c r="I316" s="136">
        <v>2793.58</v>
      </c>
      <c r="J316" s="134" t="s">
        <v>359</v>
      </c>
    </row>
    <row r="317" spans="1:10" x14ac:dyDescent="0.25">
      <c r="A317" s="131"/>
      <c r="B317" s="131"/>
      <c r="C317" s="131"/>
      <c r="D317" s="131"/>
      <c r="E317" s="131"/>
      <c r="F317" s="131"/>
      <c r="G317" s="136">
        <f>SUBTOTAL(9,G306:G316)</f>
        <v>2793.58</v>
      </c>
      <c r="H317" s="136">
        <f>SUBTOTAL(9,H306:H316)</f>
        <v>0</v>
      </c>
    </row>
    <row r="319" spans="1:10" x14ac:dyDescent="0.25">
      <c r="A319" s="130" t="s">
        <v>897</v>
      </c>
      <c r="B319" s="130" t="s">
        <v>106</v>
      </c>
      <c r="C319" s="135"/>
      <c r="D319" s="135"/>
      <c r="E319" s="135"/>
      <c r="F319" s="135"/>
      <c r="G319" s="135"/>
      <c r="H319" s="135"/>
      <c r="I319" s="136">
        <v>50</v>
      </c>
      <c r="J319" s="134" t="s">
        <v>359</v>
      </c>
    </row>
    <row r="320" spans="1:10" x14ac:dyDescent="0.25">
      <c r="A320" s="131"/>
      <c r="B320" s="131"/>
      <c r="C320" s="137">
        <v>43586</v>
      </c>
      <c r="D320" s="134" t="s">
        <v>898</v>
      </c>
      <c r="E320" s="134" t="s">
        <v>464</v>
      </c>
      <c r="F320" s="134" t="s">
        <v>899</v>
      </c>
      <c r="G320" s="136">
        <v>50</v>
      </c>
      <c r="H320" s="136">
        <v>0</v>
      </c>
      <c r="I320" s="136">
        <v>100</v>
      </c>
      <c r="J320" s="134" t="s">
        <v>359</v>
      </c>
    </row>
    <row r="321" spans="1:10" x14ac:dyDescent="0.25">
      <c r="A321" s="131"/>
      <c r="B321" s="131"/>
      <c r="C321" s="137">
        <v>43588</v>
      </c>
      <c r="D321" s="134" t="s">
        <v>900</v>
      </c>
      <c r="E321" s="134" t="s">
        <v>901</v>
      </c>
      <c r="F321" s="134" t="s">
        <v>902</v>
      </c>
      <c r="G321" s="136">
        <v>169.34</v>
      </c>
      <c r="H321" s="136">
        <v>0</v>
      </c>
      <c r="I321" s="136">
        <v>269.33999999999997</v>
      </c>
      <c r="J321" s="134" t="s">
        <v>359</v>
      </c>
    </row>
    <row r="322" spans="1:10" x14ac:dyDescent="0.25">
      <c r="A322" s="131"/>
      <c r="B322" s="131"/>
      <c r="C322" s="137">
        <v>43613</v>
      </c>
      <c r="D322" s="134" t="s">
        <v>903</v>
      </c>
      <c r="E322" s="134" t="s">
        <v>904</v>
      </c>
      <c r="F322" s="134" t="s">
        <v>905</v>
      </c>
      <c r="G322" s="136">
        <v>51.16</v>
      </c>
      <c r="H322" s="136">
        <v>0</v>
      </c>
      <c r="I322" s="136">
        <v>320.5</v>
      </c>
      <c r="J322" s="134" t="s">
        <v>359</v>
      </c>
    </row>
    <row r="323" spans="1:10" x14ac:dyDescent="0.25">
      <c r="A323" s="131"/>
      <c r="B323" s="131"/>
      <c r="C323" s="137">
        <v>43617</v>
      </c>
      <c r="D323" s="134" t="s">
        <v>906</v>
      </c>
      <c r="E323" s="134" t="s">
        <v>420</v>
      </c>
      <c r="F323" s="134" t="s">
        <v>907</v>
      </c>
      <c r="G323" s="136">
        <v>50</v>
      </c>
      <c r="H323" s="136">
        <v>0</v>
      </c>
      <c r="I323" s="136">
        <v>370.5</v>
      </c>
      <c r="J323" s="134" t="s">
        <v>359</v>
      </c>
    </row>
    <row r="324" spans="1:10" x14ac:dyDescent="0.25">
      <c r="A324" s="131"/>
      <c r="B324" s="131"/>
      <c r="C324" s="137">
        <v>43620</v>
      </c>
      <c r="D324" s="134" t="s">
        <v>908</v>
      </c>
      <c r="E324" s="134" t="s">
        <v>909</v>
      </c>
      <c r="F324" s="134" t="s">
        <v>910</v>
      </c>
      <c r="G324" s="136">
        <v>76.739999999999995</v>
      </c>
      <c r="H324" s="136">
        <v>0</v>
      </c>
      <c r="I324" s="136">
        <v>447.24</v>
      </c>
      <c r="J324" s="134" t="s">
        <v>359</v>
      </c>
    </row>
    <row r="325" spans="1:10" x14ac:dyDescent="0.25">
      <c r="A325" s="131"/>
      <c r="B325" s="131"/>
      <c r="C325" s="137">
        <v>43629</v>
      </c>
      <c r="D325" s="134" t="s">
        <v>911</v>
      </c>
      <c r="E325" s="134" t="s">
        <v>912</v>
      </c>
      <c r="F325" s="134" t="s">
        <v>913</v>
      </c>
      <c r="G325" s="136">
        <v>25.57</v>
      </c>
      <c r="H325" s="136">
        <v>0</v>
      </c>
      <c r="I325" s="136">
        <v>472.81</v>
      </c>
      <c r="J325" s="134" t="s">
        <v>359</v>
      </c>
    </row>
    <row r="326" spans="1:10" x14ac:dyDescent="0.25">
      <c r="A326" s="131"/>
      <c r="B326" s="131"/>
      <c r="C326" s="137">
        <v>43647</v>
      </c>
      <c r="D326" s="134" t="s">
        <v>914</v>
      </c>
      <c r="E326" s="134" t="s">
        <v>422</v>
      </c>
      <c r="F326" s="134" t="s">
        <v>915</v>
      </c>
      <c r="G326" s="136">
        <v>50</v>
      </c>
      <c r="H326" s="136">
        <v>0</v>
      </c>
      <c r="I326" s="136">
        <v>522.80999999999995</v>
      </c>
      <c r="J326" s="134" t="s">
        <v>359</v>
      </c>
    </row>
    <row r="327" spans="1:10" x14ac:dyDescent="0.25">
      <c r="A327" s="131"/>
      <c r="B327" s="131"/>
      <c r="C327" s="137">
        <v>43678</v>
      </c>
      <c r="D327" s="134" t="s">
        <v>916</v>
      </c>
      <c r="E327" s="134" t="s">
        <v>529</v>
      </c>
      <c r="F327" s="134" t="s">
        <v>917</v>
      </c>
      <c r="G327" s="136">
        <v>50</v>
      </c>
      <c r="H327" s="136">
        <v>0</v>
      </c>
      <c r="I327" s="136">
        <v>572.80999999999995</v>
      </c>
      <c r="J327" s="134" t="s">
        <v>359</v>
      </c>
    </row>
    <row r="328" spans="1:10" x14ac:dyDescent="0.25">
      <c r="A328" s="131"/>
      <c r="B328" s="131"/>
      <c r="C328" s="137">
        <v>43709</v>
      </c>
      <c r="D328" s="134" t="s">
        <v>918</v>
      </c>
      <c r="E328" s="134" t="s">
        <v>919</v>
      </c>
      <c r="F328" s="134" t="s">
        <v>920</v>
      </c>
      <c r="G328" s="136">
        <v>50</v>
      </c>
      <c r="H328" s="136">
        <v>0</v>
      </c>
      <c r="I328" s="136">
        <v>622.80999999999995</v>
      </c>
      <c r="J328" s="134" t="s">
        <v>359</v>
      </c>
    </row>
    <row r="329" spans="1:10" x14ac:dyDescent="0.25">
      <c r="A329" s="131"/>
      <c r="B329" s="131"/>
      <c r="C329" s="137">
        <v>43739</v>
      </c>
      <c r="D329" s="134" t="s">
        <v>921</v>
      </c>
      <c r="E329" s="134" t="s">
        <v>427</v>
      </c>
      <c r="F329" s="134" t="s">
        <v>922</v>
      </c>
      <c r="G329" s="136">
        <v>50</v>
      </c>
      <c r="H329" s="136">
        <v>0</v>
      </c>
      <c r="I329" s="136">
        <v>672.81</v>
      </c>
      <c r="J329" s="134" t="s">
        <v>359</v>
      </c>
    </row>
    <row r="330" spans="1:10" x14ac:dyDescent="0.25">
      <c r="A330" s="131"/>
      <c r="B330" s="131"/>
      <c r="C330" s="137">
        <v>43770</v>
      </c>
      <c r="D330" s="134" t="s">
        <v>923</v>
      </c>
      <c r="E330" s="134" t="s">
        <v>924</v>
      </c>
      <c r="F330" s="134" t="s">
        <v>925</v>
      </c>
      <c r="G330" s="136">
        <v>50</v>
      </c>
      <c r="H330" s="136">
        <v>0</v>
      </c>
      <c r="I330" s="136">
        <v>722.81</v>
      </c>
      <c r="J330" s="134" t="s">
        <v>359</v>
      </c>
    </row>
    <row r="331" spans="1:10" x14ac:dyDescent="0.25">
      <c r="A331" s="131"/>
      <c r="B331" s="131"/>
      <c r="C331" s="137">
        <v>43800</v>
      </c>
      <c r="D331" s="134" t="s">
        <v>926</v>
      </c>
      <c r="E331" s="134" t="s">
        <v>439</v>
      </c>
      <c r="F331" s="134" t="s">
        <v>927</v>
      </c>
      <c r="G331" s="136">
        <v>50</v>
      </c>
      <c r="H331" s="136">
        <v>0</v>
      </c>
      <c r="I331" s="136">
        <v>772.81</v>
      </c>
      <c r="J331" s="134" t="s">
        <v>359</v>
      </c>
    </row>
    <row r="332" spans="1:10" x14ac:dyDescent="0.25">
      <c r="A332" s="131"/>
      <c r="B332" s="131"/>
      <c r="C332" s="137">
        <v>43831</v>
      </c>
      <c r="D332" s="134" t="s">
        <v>928</v>
      </c>
      <c r="E332" s="134" t="s">
        <v>443</v>
      </c>
      <c r="F332" s="134" t="s">
        <v>929</v>
      </c>
      <c r="G332" s="136">
        <v>50</v>
      </c>
      <c r="H332" s="136">
        <v>0</v>
      </c>
      <c r="I332" s="136">
        <v>822.81</v>
      </c>
      <c r="J332" s="134" t="s">
        <v>359</v>
      </c>
    </row>
    <row r="333" spans="1:10" x14ac:dyDescent="0.25">
      <c r="A333" s="131"/>
      <c r="B333" s="131"/>
      <c r="C333" s="137">
        <v>43854</v>
      </c>
      <c r="D333" s="134" t="s">
        <v>930</v>
      </c>
      <c r="E333" s="134" t="s">
        <v>931</v>
      </c>
      <c r="F333" s="134" t="s">
        <v>932</v>
      </c>
      <c r="G333" s="136">
        <v>25.57</v>
      </c>
      <c r="H333" s="136">
        <v>0</v>
      </c>
      <c r="I333" s="136">
        <v>848.38</v>
      </c>
      <c r="J333" s="134" t="s">
        <v>359</v>
      </c>
    </row>
    <row r="334" spans="1:10" x14ac:dyDescent="0.25">
      <c r="A334" s="131"/>
      <c r="B334" s="131"/>
      <c r="C334" s="137">
        <v>43862</v>
      </c>
      <c r="D334" s="134" t="s">
        <v>933</v>
      </c>
      <c r="E334" s="134" t="s">
        <v>934</v>
      </c>
      <c r="F334" s="134" t="s">
        <v>935</v>
      </c>
      <c r="G334" s="136">
        <v>50</v>
      </c>
      <c r="H334" s="136">
        <v>0</v>
      </c>
      <c r="I334" s="136">
        <v>898.38</v>
      </c>
      <c r="J334" s="134" t="s">
        <v>359</v>
      </c>
    </row>
    <row r="335" spans="1:10" x14ac:dyDescent="0.25">
      <c r="A335" s="131"/>
      <c r="B335" s="131"/>
      <c r="C335" s="137">
        <v>43891</v>
      </c>
      <c r="D335" s="134" t="s">
        <v>936</v>
      </c>
      <c r="E335" s="134" t="s">
        <v>452</v>
      </c>
      <c r="F335" s="134" t="s">
        <v>937</v>
      </c>
      <c r="G335" s="136">
        <v>50</v>
      </c>
      <c r="H335" s="136">
        <v>0</v>
      </c>
      <c r="I335" s="136">
        <v>948.38</v>
      </c>
      <c r="J335" s="134" t="s">
        <v>359</v>
      </c>
    </row>
    <row r="336" spans="1:10" x14ac:dyDescent="0.25">
      <c r="A336" s="131"/>
      <c r="B336" s="131"/>
      <c r="C336" s="137">
        <v>43921</v>
      </c>
      <c r="D336" s="134" t="s">
        <v>938</v>
      </c>
      <c r="E336" s="134" t="s">
        <v>939</v>
      </c>
      <c r="F336" s="134" t="s">
        <v>940</v>
      </c>
      <c r="G336" s="138">
        <v>102.31</v>
      </c>
      <c r="H336" s="138">
        <v>0</v>
      </c>
      <c r="I336" s="136">
        <v>1050.69</v>
      </c>
      <c r="J336" s="134" t="s">
        <v>359</v>
      </c>
    </row>
    <row r="337" spans="1:10" x14ac:dyDescent="0.25">
      <c r="A337" s="131"/>
      <c r="B337" s="131"/>
      <c r="C337" s="131"/>
      <c r="D337" s="131"/>
      <c r="E337" s="131"/>
      <c r="F337" s="131"/>
      <c r="G337" s="136">
        <f>SUBTOTAL(9,G320:G336)</f>
        <v>1000.69</v>
      </c>
      <c r="H337" s="136">
        <f>SUBTOTAL(9,H320:H336)</f>
        <v>0</v>
      </c>
    </row>
    <row r="339" spans="1:10" x14ac:dyDescent="0.25">
      <c r="A339" s="130" t="s">
        <v>941</v>
      </c>
      <c r="B339" s="130" t="s">
        <v>942</v>
      </c>
      <c r="C339" s="135"/>
      <c r="D339" s="135"/>
      <c r="E339" s="135"/>
      <c r="F339" s="135"/>
      <c r="G339" s="135"/>
      <c r="H339" s="135"/>
      <c r="I339" s="136">
        <v>200</v>
      </c>
      <c r="J339" s="134" t="s">
        <v>359</v>
      </c>
    </row>
    <row r="340" spans="1:10" x14ac:dyDescent="0.25">
      <c r="A340" s="131"/>
      <c r="B340" s="131"/>
      <c r="C340" s="137">
        <v>43586</v>
      </c>
      <c r="D340" s="134" t="s">
        <v>943</v>
      </c>
      <c r="E340" s="134" t="s">
        <v>464</v>
      </c>
      <c r="F340" s="134" t="s">
        <v>944</v>
      </c>
      <c r="G340" s="136">
        <v>200</v>
      </c>
      <c r="H340" s="136">
        <v>0</v>
      </c>
      <c r="I340" s="136">
        <v>400</v>
      </c>
      <c r="J340" s="134" t="s">
        <v>359</v>
      </c>
    </row>
    <row r="341" spans="1:10" x14ac:dyDescent="0.25">
      <c r="A341" s="131"/>
      <c r="B341" s="131"/>
      <c r="C341" s="137">
        <v>43617</v>
      </c>
      <c r="D341" s="134" t="s">
        <v>945</v>
      </c>
      <c r="E341" s="134" t="s">
        <v>420</v>
      </c>
      <c r="F341" s="134" t="s">
        <v>946</v>
      </c>
      <c r="G341" s="136">
        <v>200</v>
      </c>
      <c r="H341" s="136">
        <v>0</v>
      </c>
      <c r="I341" s="136">
        <v>600</v>
      </c>
      <c r="J341" s="134" t="s">
        <v>359</v>
      </c>
    </row>
    <row r="342" spans="1:10" x14ac:dyDescent="0.25">
      <c r="A342" s="131"/>
      <c r="B342" s="131"/>
      <c r="C342" s="137">
        <v>43647</v>
      </c>
      <c r="D342" s="134" t="s">
        <v>947</v>
      </c>
      <c r="E342" s="134" t="s">
        <v>422</v>
      </c>
      <c r="F342" s="134" t="s">
        <v>948</v>
      </c>
      <c r="G342" s="136">
        <v>200</v>
      </c>
      <c r="H342" s="136">
        <v>0</v>
      </c>
      <c r="I342" s="136">
        <v>800</v>
      </c>
      <c r="J342" s="134" t="s">
        <v>359</v>
      </c>
    </row>
    <row r="343" spans="1:10" x14ac:dyDescent="0.25">
      <c r="A343" s="131"/>
      <c r="B343" s="131"/>
      <c r="C343" s="137">
        <v>43678</v>
      </c>
      <c r="D343" s="134" t="s">
        <v>949</v>
      </c>
      <c r="E343" s="134" t="s">
        <v>529</v>
      </c>
      <c r="F343" s="134" t="s">
        <v>950</v>
      </c>
      <c r="G343" s="136">
        <v>200</v>
      </c>
      <c r="H343" s="136">
        <v>0</v>
      </c>
      <c r="I343" s="136">
        <v>1000</v>
      </c>
      <c r="J343" s="134" t="s">
        <v>359</v>
      </c>
    </row>
    <row r="344" spans="1:10" x14ac:dyDescent="0.25">
      <c r="A344" s="131"/>
      <c r="B344" s="131"/>
      <c r="C344" s="137">
        <v>43709</v>
      </c>
      <c r="D344" s="134" t="s">
        <v>951</v>
      </c>
      <c r="E344" s="134" t="s">
        <v>919</v>
      </c>
      <c r="F344" s="134" t="s">
        <v>952</v>
      </c>
      <c r="G344" s="136">
        <v>200</v>
      </c>
      <c r="H344" s="136">
        <v>0</v>
      </c>
      <c r="I344" s="136">
        <v>1200</v>
      </c>
      <c r="J344" s="134" t="s">
        <v>359</v>
      </c>
    </row>
    <row r="345" spans="1:10" x14ac:dyDescent="0.25">
      <c r="A345" s="131"/>
      <c r="B345" s="131"/>
      <c r="C345" s="137">
        <v>43739</v>
      </c>
      <c r="D345" s="134" t="s">
        <v>953</v>
      </c>
      <c r="E345" s="134" t="s">
        <v>427</v>
      </c>
      <c r="F345" s="134" t="s">
        <v>954</v>
      </c>
      <c r="G345" s="136">
        <v>200</v>
      </c>
      <c r="H345" s="136">
        <v>0</v>
      </c>
      <c r="I345" s="136">
        <v>1400</v>
      </c>
      <c r="J345" s="134" t="s">
        <v>359</v>
      </c>
    </row>
    <row r="346" spans="1:10" x14ac:dyDescent="0.25">
      <c r="A346" s="131"/>
      <c r="B346" s="131"/>
      <c r="C346" s="137">
        <v>43770</v>
      </c>
      <c r="D346" s="134" t="s">
        <v>955</v>
      </c>
      <c r="E346" s="134" t="s">
        <v>924</v>
      </c>
      <c r="F346" s="134" t="s">
        <v>956</v>
      </c>
      <c r="G346" s="136">
        <v>200</v>
      </c>
      <c r="H346" s="136">
        <v>0</v>
      </c>
      <c r="I346" s="136">
        <v>1600</v>
      </c>
      <c r="J346" s="134" t="s">
        <v>359</v>
      </c>
    </row>
    <row r="347" spans="1:10" x14ac:dyDescent="0.25">
      <c r="A347" s="131"/>
      <c r="B347" s="131"/>
      <c r="C347" s="137">
        <v>43800</v>
      </c>
      <c r="D347" s="134" t="s">
        <v>957</v>
      </c>
      <c r="E347" s="134" t="s">
        <v>439</v>
      </c>
      <c r="F347" s="134" t="s">
        <v>958</v>
      </c>
      <c r="G347" s="136">
        <v>200</v>
      </c>
      <c r="H347" s="136">
        <v>0</v>
      </c>
      <c r="I347" s="136">
        <v>1800</v>
      </c>
      <c r="J347" s="134" t="s">
        <v>359</v>
      </c>
    </row>
    <row r="348" spans="1:10" x14ac:dyDescent="0.25">
      <c r="A348" s="131"/>
      <c r="B348" s="131"/>
      <c r="C348" s="137">
        <v>43831</v>
      </c>
      <c r="D348" s="134" t="s">
        <v>959</v>
      </c>
      <c r="E348" s="134" t="s">
        <v>443</v>
      </c>
      <c r="F348" s="134" t="s">
        <v>960</v>
      </c>
      <c r="G348" s="136">
        <v>200</v>
      </c>
      <c r="H348" s="136">
        <v>0</v>
      </c>
      <c r="I348" s="136">
        <v>2000</v>
      </c>
      <c r="J348" s="134" t="s">
        <v>359</v>
      </c>
    </row>
    <row r="349" spans="1:10" x14ac:dyDescent="0.25">
      <c r="A349" s="131"/>
      <c r="B349" s="131"/>
      <c r="C349" s="137">
        <v>43862</v>
      </c>
      <c r="D349" s="134" t="s">
        <v>961</v>
      </c>
      <c r="E349" s="134" t="s">
        <v>934</v>
      </c>
      <c r="F349" s="134" t="s">
        <v>962</v>
      </c>
      <c r="G349" s="136">
        <v>200</v>
      </c>
      <c r="H349" s="136">
        <v>0</v>
      </c>
      <c r="I349" s="136">
        <v>2200</v>
      </c>
      <c r="J349" s="134" t="s">
        <v>359</v>
      </c>
    </row>
    <row r="350" spans="1:10" x14ac:dyDescent="0.25">
      <c r="A350" s="131"/>
      <c r="B350" s="131"/>
      <c r="C350" s="137">
        <v>43891</v>
      </c>
      <c r="D350" s="134" t="s">
        <v>963</v>
      </c>
      <c r="E350" s="134" t="s">
        <v>452</v>
      </c>
      <c r="F350" s="134" t="s">
        <v>964</v>
      </c>
      <c r="G350" s="136">
        <v>200</v>
      </c>
      <c r="H350" s="136">
        <v>0</v>
      </c>
      <c r="I350" s="136">
        <v>2400</v>
      </c>
      <c r="J350" s="134" t="s">
        <v>359</v>
      </c>
    </row>
    <row r="351" spans="1:10" x14ac:dyDescent="0.25">
      <c r="A351" s="131"/>
      <c r="B351" s="131"/>
      <c r="C351" s="137">
        <v>43921</v>
      </c>
      <c r="D351" s="134" t="s">
        <v>965</v>
      </c>
      <c r="E351" s="134" t="s">
        <v>966</v>
      </c>
      <c r="F351" s="134" t="s">
        <v>967</v>
      </c>
      <c r="G351" s="138">
        <v>0</v>
      </c>
      <c r="H351" s="138">
        <v>313.08</v>
      </c>
      <c r="I351" s="136">
        <v>2086.92</v>
      </c>
      <c r="J351" s="134" t="s">
        <v>359</v>
      </c>
    </row>
    <row r="352" spans="1:10" x14ac:dyDescent="0.25">
      <c r="A352" s="131"/>
      <c r="B352" s="131"/>
      <c r="C352" s="131"/>
      <c r="D352" s="131"/>
      <c r="E352" s="131"/>
      <c r="F352" s="131"/>
      <c r="G352" s="136">
        <f>SUBTOTAL(9,G340:G351)</f>
        <v>2200</v>
      </c>
      <c r="H352" s="136">
        <f>SUBTOTAL(9,H340:H351)</f>
        <v>313.08</v>
      </c>
    </row>
    <row r="354" spans="1:15" x14ac:dyDescent="0.25">
      <c r="A354" s="130" t="s">
        <v>968</v>
      </c>
      <c r="B354" s="130" t="s">
        <v>44</v>
      </c>
      <c r="C354" s="135"/>
      <c r="D354" s="135"/>
      <c r="E354" s="135"/>
      <c r="F354" s="135"/>
      <c r="G354" s="135"/>
      <c r="H354" s="135"/>
      <c r="I354" s="136">
        <v>0</v>
      </c>
      <c r="J354" s="134" t="s">
        <v>359</v>
      </c>
    </row>
    <row r="355" spans="1:15" x14ac:dyDescent="0.25">
      <c r="A355" s="131"/>
      <c r="B355" s="131"/>
      <c r="C355" s="137">
        <v>43577</v>
      </c>
      <c r="D355" s="134" t="s">
        <v>618</v>
      </c>
      <c r="E355" s="134" t="s">
        <v>360</v>
      </c>
      <c r="F355" s="134" t="s">
        <v>619</v>
      </c>
      <c r="G355" s="136">
        <v>631.41</v>
      </c>
      <c r="H355" s="136">
        <v>0</v>
      </c>
      <c r="I355" s="136">
        <v>631.41</v>
      </c>
      <c r="J355" s="134" t="s">
        <v>359</v>
      </c>
    </row>
    <row r="356" spans="1:15" x14ac:dyDescent="0.25">
      <c r="A356" s="131"/>
      <c r="B356" s="131"/>
      <c r="C356" s="137">
        <v>43606</v>
      </c>
      <c r="D356" s="134" t="s">
        <v>625</v>
      </c>
      <c r="E356" s="134" t="s">
        <v>626</v>
      </c>
      <c r="F356" s="134" t="s">
        <v>627</v>
      </c>
      <c r="G356" s="138">
        <v>631.48</v>
      </c>
      <c r="H356" s="138">
        <v>0</v>
      </c>
      <c r="I356" s="139">
        <v>1262.8900000000001</v>
      </c>
      <c r="J356" s="134" t="s">
        <v>359</v>
      </c>
      <c r="O356" s="4">
        <v>5015</v>
      </c>
    </row>
    <row r="357" spans="1:15" x14ac:dyDescent="0.25">
      <c r="A357" s="131"/>
      <c r="B357" s="131"/>
      <c r="C357" s="131"/>
      <c r="D357" s="131"/>
      <c r="E357" s="131"/>
      <c r="F357" s="131"/>
      <c r="G357" s="136">
        <f>SUBTOTAL(9,G355:G356)</f>
        <v>1262.8899999999999</v>
      </c>
      <c r="H357" s="136">
        <f>SUBTOTAL(9,H355:H356)</f>
        <v>0</v>
      </c>
    </row>
    <row r="359" spans="1:15" x14ac:dyDescent="0.25">
      <c r="A359" s="130" t="s">
        <v>969</v>
      </c>
      <c r="B359" s="130" t="s">
        <v>970</v>
      </c>
      <c r="C359" s="135"/>
      <c r="D359" s="135"/>
      <c r="E359" s="135"/>
      <c r="F359" s="135"/>
      <c r="G359" s="135"/>
      <c r="H359" s="135"/>
      <c r="I359" s="136">
        <v>0</v>
      </c>
      <c r="J359" s="134" t="s">
        <v>359</v>
      </c>
    </row>
    <row r="361" spans="1:15" x14ac:dyDescent="0.25">
      <c r="A361" s="130" t="s">
        <v>971</v>
      </c>
      <c r="B361" s="130" t="s">
        <v>105</v>
      </c>
      <c r="C361" s="135"/>
      <c r="D361" s="135"/>
      <c r="E361" s="135"/>
      <c r="F361" s="135"/>
      <c r="G361" s="135"/>
      <c r="H361" s="135"/>
      <c r="I361" s="136">
        <v>0</v>
      </c>
      <c r="J361" s="134" t="s">
        <v>359</v>
      </c>
    </row>
    <row r="362" spans="1:15" x14ac:dyDescent="0.25">
      <c r="A362" s="131"/>
      <c r="B362" s="131"/>
      <c r="C362" s="137">
        <v>43585</v>
      </c>
      <c r="D362" s="134" t="s">
        <v>547</v>
      </c>
      <c r="E362" s="134" t="s">
        <v>418</v>
      </c>
      <c r="F362" s="134" t="s">
        <v>548</v>
      </c>
      <c r="G362" s="136">
        <v>47.2</v>
      </c>
      <c r="H362" s="136">
        <v>0</v>
      </c>
      <c r="I362" s="136">
        <v>47.2</v>
      </c>
      <c r="J362" s="134" t="s">
        <v>359</v>
      </c>
    </row>
    <row r="363" spans="1:15" x14ac:dyDescent="0.25">
      <c r="A363" s="131"/>
      <c r="B363" s="131"/>
      <c r="C363" s="137">
        <v>43613</v>
      </c>
      <c r="D363" s="134" t="s">
        <v>972</v>
      </c>
      <c r="E363" s="134" t="s">
        <v>802</v>
      </c>
      <c r="F363" s="134" t="s">
        <v>973</v>
      </c>
      <c r="G363" s="136">
        <v>32.99</v>
      </c>
      <c r="H363" s="136">
        <v>0</v>
      </c>
      <c r="I363" s="136">
        <v>80.19</v>
      </c>
      <c r="J363" s="134" t="s">
        <v>359</v>
      </c>
    </row>
    <row r="364" spans="1:15" x14ac:dyDescent="0.25">
      <c r="A364" s="131"/>
      <c r="B364" s="131"/>
      <c r="C364" s="137">
        <v>43616</v>
      </c>
      <c r="D364" s="134" t="s">
        <v>571</v>
      </c>
      <c r="E364" s="134" t="s">
        <v>464</v>
      </c>
      <c r="F364" s="134" t="s">
        <v>885</v>
      </c>
      <c r="G364" s="136">
        <v>44.93</v>
      </c>
      <c r="H364" s="136">
        <v>0</v>
      </c>
      <c r="I364" s="136">
        <v>125.12</v>
      </c>
      <c r="J364" s="134" t="s">
        <v>359</v>
      </c>
    </row>
    <row r="365" spans="1:15" x14ac:dyDescent="0.25">
      <c r="A365" s="131"/>
      <c r="B365" s="131"/>
      <c r="C365" s="137">
        <v>43646</v>
      </c>
      <c r="D365" s="134" t="s">
        <v>535</v>
      </c>
      <c r="E365" s="134" t="s">
        <v>420</v>
      </c>
      <c r="F365" s="134" t="s">
        <v>564</v>
      </c>
      <c r="G365" s="136">
        <v>51.58</v>
      </c>
      <c r="H365" s="136">
        <v>0</v>
      </c>
      <c r="I365" s="136">
        <v>176.7</v>
      </c>
      <c r="J365" s="134" t="s">
        <v>359</v>
      </c>
    </row>
    <row r="366" spans="1:15" x14ac:dyDescent="0.25">
      <c r="A366" s="131"/>
      <c r="B366" s="131"/>
      <c r="C366" s="137">
        <v>43708</v>
      </c>
      <c r="D366" s="134" t="s">
        <v>586</v>
      </c>
      <c r="E366" s="134" t="s">
        <v>529</v>
      </c>
      <c r="F366" s="134" t="s">
        <v>587</v>
      </c>
      <c r="G366" s="136">
        <v>83.85</v>
      </c>
      <c r="H366" s="136">
        <v>0</v>
      </c>
      <c r="I366" s="136">
        <v>260.55</v>
      </c>
      <c r="J366" s="134" t="s">
        <v>359</v>
      </c>
    </row>
    <row r="367" spans="1:15" x14ac:dyDescent="0.25">
      <c r="A367" s="131"/>
      <c r="B367" s="131"/>
      <c r="C367" s="137">
        <v>43861</v>
      </c>
      <c r="D367" s="134" t="s">
        <v>535</v>
      </c>
      <c r="E367" s="134" t="s">
        <v>443</v>
      </c>
      <c r="F367" s="134" t="s">
        <v>536</v>
      </c>
      <c r="G367" s="136">
        <v>30.94</v>
      </c>
      <c r="H367" s="136">
        <v>0</v>
      </c>
      <c r="I367" s="136">
        <v>291.49</v>
      </c>
      <c r="J367" s="134" t="s">
        <v>359</v>
      </c>
    </row>
    <row r="368" spans="1:15" x14ac:dyDescent="0.25">
      <c r="A368" s="131"/>
      <c r="B368" s="131"/>
      <c r="C368" s="137">
        <v>43867</v>
      </c>
      <c r="D368" s="134" t="s">
        <v>410</v>
      </c>
      <c r="E368" s="134" t="s">
        <v>974</v>
      </c>
      <c r="F368" s="134" t="s">
        <v>975</v>
      </c>
      <c r="G368" s="136">
        <v>43.45</v>
      </c>
      <c r="H368" s="136">
        <v>0</v>
      </c>
      <c r="I368" s="136">
        <v>334.94</v>
      </c>
      <c r="J368" s="134" t="s">
        <v>359</v>
      </c>
    </row>
    <row r="369" spans="1:13" x14ac:dyDescent="0.25">
      <c r="A369" s="131"/>
      <c r="B369" s="131"/>
      <c r="C369" s="137">
        <v>43921</v>
      </c>
      <c r="D369" s="134" t="s">
        <v>797</v>
      </c>
      <c r="E369" s="134" t="s">
        <v>454</v>
      </c>
      <c r="F369" s="134" t="s">
        <v>798</v>
      </c>
      <c r="G369" s="138">
        <v>165.6</v>
      </c>
      <c r="H369" s="138">
        <v>0</v>
      </c>
      <c r="I369" s="136">
        <v>500.54</v>
      </c>
      <c r="J369" s="134" t="s">
        <v>359</v>
      </c>
    </row>
    <row r="370" spans="1:13" x14ac:dyDescent="0.25">
      <c r="A370" s="131"/>
      <c r="B370" s="131"/>
      <c r="C370" s="131"/>
      <c r="D370" s="131"/>
      <c r="E370" s="131"/>
      <c r="F370" s="131"/>
      <c r="G370" s="136">
        <f>SUBTOTAL(9,G362:G369)</f>
        <v>500.53999999999996</v>
      </c>
      <c r="H370" s="136">
        <f>SUBTOTAL(9,H362:H369)</f>
        <v>0</v>
      </c>
    </row>
    <row r="372" spans="1:13" x14ac:dyDescent="0.25">
      <c r="A372" s="130" t="s">
        <v>976</v>
      </c>
      <c r="B372" s="130" t="s">
        <v>977</v>
      </c>
      <c r="C372" s="135"/>
      <c r="D372" s="135"/>
      <c r="E372" s="135"/>
      <c r="F372" s="135"/>
      <c r="G372" s="135"/>
      <c r="H372" s="135"/>
      <c r="I372" s="136">
        <v>0</v>
      </c>
      <c r="J372" s="134" t="s">
        <v>359</v>
      </c>
    </row>
    <row r="373" spans="1:13" x14ac:dyDescent="0.25">
      <c r="A373" s="131"/>
      <c r="B373" s="131"/>
      <c r="C373" s="137">
        <v>43565</v>
      </c>
      <c r="D373" s="134" t="s">
        <v>549</v>
      </c>
      <c r="E373" s="134" t="s">
        <v>978</v>
      </c>
      <c r="F373" s="134" t="s">
        <v>979</v>
      </c>
      <c r="G373" s="136">
        <v>93.8</v>
      </c>
      <c r="H373" s="136">
        <v>0</v>
      </c>
      <c r="I373" s="136">
        <v>93.8</v>
      </c>
      <c r="J373" s="134" t="s">
        <v>359</v>
      </c>
    </row>
    <row r="374" spans="1:13" x14ac:dyDescent="0.25">
      <c r="A374" s="131"/>
      <c r="B374" s="131"/>
      <c r="C374" s="137">
        <v>43585</v>
      </c>
      <c r="D374" s="134" t="s">
        <v>980</v>
      </c>
      <c r="E374" s="134" t="s">
        <v>408</v>
      </c>
      <c r="F374" s="134" t="s">
        <v>981</v>
      </c>
      <c r="G374" s="136">
        <v>174.55</v>
      </c>
      <c r="H374" s="136">
        <v>0</v>
      </c>
      <c r="I374" s="136">
        <v>268.35000000000002</v>
      </c>
      <c r="J374" s="134" t="s">
        <v>359</v>
      </c>
    </row>
    <row r="375" spans="1:13" x14ac:dyDescent="0.25">
      <c r="A375" s="131"/>
      <c r="B375" s="131"/>
      <c r="C375" s="137">
        <v>43585</v>
      </c>
      <c r="D375" s="134" t="s">
        <v>571</v>
      </c>
      <c r="E375" s="134" t="s">
        <v>418</v>
      </c>
      <c r="F375" s="134" t="s">
        <v>982</v>
      </c>
      <c r="G375" s="136">
        <v>123.87</v>
      </c>
      <c r="H375" s="136">
        <v>0</v>
      </c>
      <c r="I375" s="136">
        <v>392.22</v>
      </c>
      <c r="J375" s="134" t="s">
        <v>359</v>
      </c>
    </row>
    <row r="376" spans="1:13" x14ac:dyDescent="0.25">
      <c r="A376" s="131"/>
      <c r="B376" s="131"/>
      <c r="C376" s="137">
        <v>43616</v>
      </c>
      <c r="D376" s="134" t="s">
        <v>557</v>
      </c>
      <c r="E376" s="134" t="s">
        <v>464</v>
      </c>
      <c r="F376" s="134" t="s">
        <v>558</v>
      </c>
      <c r="G376" s="136">
        <v>68.489999999999995</v>
      </c>
      <c r="H376" s="136">
        <v>0</v>
      </c>
      <c r="I376" s="136">
        <v>460.71</v>
      </c>
      <c r="J376" s="134" t="s">
        <v>359</v>
      </c>
    </row>
    <row r="377" spans="1:13" x14ac:dyDescent="0.25">
      <c r="A377" s="131"/>
      <c r="B377" s="131"/>
      <c r="C377" s="137">
        <v>43644</v>
      </c>
      <c r="D377" s="134" t="s">
        <v>980</v>
      </c>
      <c r="E377" s="134" t="s">
        <v>420</v>
      </c>
      <c r="F377" s="134" t="s">
        <v>983</v>
      </c>
      <c r="G377" s="136">
        <v>70.56</v>
      </c>
      <c r="H377" s="136">
        <v>0</v>
      </c>
      <c r="I377" s="136">
        <v>531.27</v>
      </c>
      <c r="J377" s="134" t="s">
        <v>359</v>
      </c>
    </row>
    <row r="378" spans="1:13" x14ac:dyDescent="0.25">
      <c r="A378" s="131"/>
      <c r="B378" s="131"/>
      <c r="C378" s="137">
        <v>43677</v>
      </c>
      <c r="D378" s="134" t="s">
        <v>980</v>
      </c>
      <c r="E378" s="134" t="s">
        <v>422</v>
      </c>
      <c r="F378" s="134" t="s">
        <v>984</v>
      </c>
      <c r="G378" s="136">
        <v>420.8</v>
      </c>
      <c r="H378" s="136">
        <v>0</v>
      </c>
      <c r="I378" s="136">
        <v>952.07</v>
      </c>
      <c r="J378" s="134" t="s">
        <v>359</v>
      </c>
    </row>
    <row r="379" spans="1:13" x14ac:dyDescent="0.25">
      <c r="A379" s="131"/>
      <c r="B379" s="131"/>
      <c r="C379" s="137">
        <v>43677</v>
      </c>
      <c r="D379" s="134" t="s">
        <v>569</v>
      </c>
      <c r="E379" s="134" t="s">
        <v>422</v>
      </c>
      <c r="F379" s="134" t="s">
        <v>570</v>
      </c>
      <c r="G379" s="136">
        <v>65.97</v>
      </c>
      <c r="H379" s="136">
        <v>0</v>
      </c>
      <c r="I379" s="136">
        <v>1018.04</v>
      </c>
      <c r="J379" s="134" t="s">
        <v>359</v>
      </c>
    </row>
    <row r="380" spans="1:13" x14ac:dyDescent="0.25">
      <c r="A380" s="131"/>
      <c r="B380" s="131"/>
      <c r="C380" s="137">
        <v>43677</v>
      </c>
      <c r="D380" s="134" t="s">
        <v>571</v>
      </c>
      <c r="E380" s="134" t="s">
        <v>572</v>
      </c>
      <c r="F380" s="134" t="s">
        <v>573</v>
      </c>
      <c r="G380" s="136">
        <v>32.54</v>
      </c>
      <c r="H380" s="136">
        <v>0</v>
      </c>
      <c r="I380" s="136">
        <v>1050.58</v>
      </c>
      <c r="J380" s="134" t="s">
        <v>359</v>
      </c>
    </row>
    <row r="381" spans="1:13" x14ac:dyDescent="0.25">
      <c r="A381" s="131"/>
      <c r="B381" s="131"/>
      <c r="C381" s="137">
        <v>43738</v>
      </c>
      <c r="D381" s="134" t="s">
        <v>980</v>
      </c>
      <c r="E381" s="134" t="s">
        <v>425</v>
      </c>
      <c r="F381" s="134" t="s">
        <v>985</v>
      </c>
      <c r="G381" s="136">
        <v>714.24</v>
      </c>
      <c r="H381" s="136">
        <v>0</v>
      </c>
      <c r="I381" s="136">
        <v>1764.82</v>
      </c>
      <c r="J381" s="134" t="s">
        <v>359</v>
      </c>
    </row>
    <row r="382" spans="1:13" x14ac:dyDescent="0.25">
      <c r="A382" s="131"/>
      <c r="B382" s="131"/>
      <c r="C382" s="137">
        <v>43738</v>
      </c>
      <c r="D382" s="134" t="s">
        <v>535</v>
      </c>
      <c r="E382" s="134" t="s">
        <v>425</v>
      </c>
      <c r="F382" s="134" t="s">
        <v>595</v>
      </c>
      <c r="G382" s="136">
        <v>29.99</v>
      </c>
      <c r="H382" s="136">
        <v>0</v>
      </c>
      <c r="I382" s="136">
        <v>1794.81</v>
      </c>
      <c r="J382" s="134" t="s">
        <v>359</v>
      </c>
      <c r="K382" s="141"/>
      <c r="L382" s="130"/>
      <c r="M382" s="149"/>
    </row>
    <row r="383" spans="1:13" x14ac:dyDescent="0.25">
      <c r="A383" s="131"/>
      <c r="B383" s="131"/>
      <c r="C383" s="137">
        <v>43753</v>
      </c>
      <c r="D383" s="134" t="s">
        <v>986</v>
      </c>
      <c r="E383" s="134" t="s">
        <v>987</v>
      </c>
      <c r="F383" s="134" t="s">
        <v>988</v>
      </c>
      <c r="G383" s="136">
        <v>35.74</v>
      </c>
      <c r="H383" s="136">
        <v>0</v>
      </c>
      <c r="I383" s="136">
        <v>1830.55</v>
      </c>
      <c r="J383" s="134" t="s">
        <v>359</v>
      </c>
    </row>
    <row r="384" spans="1:13" x14ac:dyDescent="0.25">
      <c r="A384" s="131"/>
      <c r="B384" s="131"/>
      <c r="C384" s="137">
        <v>43767</v>
      </c>
      <c r="D384" s="134" t="s">
        <v>989</v>
      </c>
      <c r="E384" s="134" t="s">
        <v>990</v>
      </c>
      <c r="F384" s="134" t="s">
        <v>991</v>
      </c>
      <c r="G384" s="136">
        <v>718.07</v>
      </c>
      <c r="H384" s="136">
        <v>0</v>
      </c>
      <c r="I384" s="136">
        <v>2548.62</v>
      </c>
      <c r="J384" s="134" t="s">
        <v>359</v>
      </c>
    </row>
    <row r="385" spans="1:10" x14ac:dyDescent="0.25">
      <c r="A385" s="131"/>
      <c r="B385" s="131"/>
      <c r="C385" s="137">
        <v>43769</v>
      </c>
      <c r="D385" s="134" t="s">
        <v>535</v>
      </c>
      <c r="E385" s="134" t="s">
        <v>427</v>
      </c>
      <c r="F385" s="134" t="s">
        <v>596</v>
      </c>
      <c r="G385" s="136">
        <v>90.75</v>
      </c>
      <c r="H385" s="136">
        <v>0</v>
      </c>
      <c r="I385" s="136">
        <v>2639.37</v>
      </c>
      <c r="J385" s="134" t="s">
        <v>359</v>
      </c>
    </row>
    <row r="386" spans="1:10" x14ac:dyDescent="0.25">
      <c r="A386" s="131"/>
      <c r="B386" s="131"/>
      <c r="C386" s="137">
        <v>43769</v>
      </c>
      <c r="D386" s="134" t="s">
        <v>588</v>
      </c>
      <c r="E386" s="134" t="s">
        <v>992</v>
      </c>
      <c r="F386" s="134" t="s">
        <v>993</v>
      </c>
      <c r="G386" s="136">
        <v>42.87</v>
      </c>
      <c r="H386" s="136">
        <v>0</v>
      </c>
      <c r="I386" s="136">
        <v>2682.24</v>
      </c>
      <c r="J386" s="134" t="s">
        <v>359</v>
      </c>
    </row>
    <row r="387" spans="1:10" x14ac:dyDescent="0.25">
      <c r="A387" s="131"/>
      <c r="B387" s="131"/>
      <c r="C387" s="137">
        <v>43800</v>
      </c>
      <c r="D387" s="134" t="s">
        <v>491</v>
      </c>
      <c r="E387" s="134" t="s">
        <v>994</v>
      </c>
      <c r="F387" s="134" t="s">
        <v>995</v>
      </c>
      <c r="G387" s="136">
        <v>31.08</v>
      </c>
      <c r="H387" s="136">
        <v>0</v>
      </c>
      <c r="I387" s="136">
        <v>2713.32</v>
      </c>
      <c r="J387" s="134" t="s">
        <v>359</v>
      </c>
    </row>
    <row r="388" spans="1:10" x14ac:dyDescent="0.25">
      <c r="A388" s="131"/>
      <c r="B388" s="131"/>
      <c r="C388" s="137">
        <v>43830</v>
      </c>
      <c r="D388" s="134" t="s">
        <v>535</v>
      </c>
      <c r="E388" s="134" t="s">
        <v>602</v>
      </c>
      <c r="F388" s="134" t="s">
        <v>603</v>
      </c>
      <c r="G388" s="136">
        <v>9.89</v>
      </c>
      <c r="H388" s="136">
        <v>0</v>
      </c>
      <c r="I388" s="136">
        <v>2723.21</v>
      </c>
      <c r="J388" s="134" t="s">
        <v>359</v>
      </c>
    </row>
    <row r="389" spans="1:10" x14ac:dyDescent="0.25">
      <c r="A389" s="131"/>
      <c r="B389" s="131"/>
      <c r="C389" s="137">
        <v>43830</v>
      </c>
      <c r="D389" s="134" t="s">
        <v>571</v>
      </c>
      <c r="E389" s="134" t="s">
        <v>480</v>
      </c>
      <c r="F389" s="134" t="s">
        <v>996</v>
      </c>
      <c r="G389" s="136">
        <v>44.52</v>
      </c>
      <c r="H389" s="136">
        <v>0</v>
      </c>
      <c r="I389" s="136">
        <v>2767.73</v>
      </c>
      <c r="J389" s="134" t="s">
        <v>359</v>
      </c>
    </row>
    <row r="390" spans="1:10" x14ac:dyDescent="0.25">
      <c r="A390" s="131"/>
      <c r="B390" s="131"/>
      <c r="C390" s="137">
        <v>43830</v>
      </c>
      <c r="D390" s="134" t="s">
        <v>980</v>
      </c>
      <c r="E390" s="134" t="s">
        <v>439</v>
      </c>
      <c r="F390" s="134" t="s">
        <v>997</v>
      </c>
      <c r="G390" s="136">
        <v>611.49</v>
      </c>
      <c r="H390" s="136">
        <v>0</v>
      </c>
      <c r="I390" s="136">
        <v>3379.22</v>
      </c>
      <c r="J390" s="134" t="s">
        <v>359</v>
      </c>
    </row>
    <row r="391" spans="1:10" x14ac:dyDescent="0.25">
      <c r="A391" s="131"/>
      <c r="B391" s="131"/>
      <c r="C391" s="137">
        <v>43854</v>
      </c>
      <c r="D391" s="134" t="s">
        <v>998</v>
      </c>
      <c r="E391" s="134" t="s">
        <v>999</v>
      </c>
      <c r="F391" s="134" t="s">
        <v>1000</v>
      </c>
      <c r="G391" s="136">
        <v>98.94</v>
      </c>
      <c r="H391" s="136">
        <v>0</v>
      </c>
      <c r="I391" s="136">
        <v>3478.16</v>
      </c>
      <c r="J391" s="134" t="s">
        <v>359</v>
      </c>
    </row>
    <row r="392" spans="1:10" x14ac:dyDescent="0.25">
      <c r="A392" s="131"/>
      <c r="B392" s="131"/>
      <c r="C392" s="137">
        <v>43861</v>
      </c>
      <c r="D392" s="134" t="s">
        <v>980</v>
      </c>
      <c r="E392" s="134" t="s">
        <v>1001</v>
      </c>
      <c r="F392" s="134" t="s">
        <v>1002</v>
      </c>
      <c r="G392" s="136">
        <v>178.57</v>
      </c>
      <c r="H392" s="136">
        <v>0</v>
      </c>
      <c r="I392" s="136">
        <v>3656.73</v>
      </c>
      <c r="J392" s="134" t="s">
        <v>359</v>
      </c>
    </row>
    <row r="393" spans="1:10" x14ac:dyDescent="0.25">
      <c r="A393" s="131"/>
      <c r="B393" s="131"/>
      <c r="C393" s="137">
        <v>43890</v>
      </c>
      <c r="D393" s="134" t="s">
        <v>535</v>
      </c>
      <c r="E393" s="134" t="s">
        <v>607</v>
      </c>
      <c r="F393" s="134" t="s">
        <v>608</v>
      </c>
      <c r="G393" s="136">
        <v>23.07</v>
      </c>
      <c r="H393" s="136">
        <v>0</v>
      </c>
      <c r="I393" s="136">
        <v>3679.8</v>
      </c>
      <c r="J393" s="134" t="s">
        <v>359</v>
      </c>
    </row>
    <row r="394" spans="1:10" x14ac:dyDescent="0.25">
      <c r="A394" s="131"/>
      <c r="B394" s="131"/>
      <c r="C394" s="137">
        <v>43917</v>
      </c>
      <c r="D394" s="134" t="s">
        <v>549</v>
      </c>
      <c r="E394" s="134" t="s">
        <v>1003</v>
      </c>
      <c r="F394" s="134" t="s">
        <v>1004</v>
      </c>
      <c r="G394" s="138">
        <v>26.67</v>
      </c>
      <c r="H394" s="138">
        <v>0</v>
      </c>
      <c r="I394" s="136">
        <v>3706.47</v>
      </c>
      <c r="J394" s="134" t="s">
        <v>359</v>
      </c>
    </row>
    <row r="395" spans="1:10" x14ac:dyDescent="0.25">
      <c r="A395" s="131"/>
      <c r="B395" s="131"/>
      <c r="C395" s="131"/>
      <c r="D395" s="131"/>
      <c r="E395" s="131"/>
      <c r="F395" s="131"/>
      <c r="G395" s="136">
        <f>SUBTOTAL(9,G373:G394)</f>
        <v>3706.47</v>
      </c>
      <c r="H395" s="136">
        <f>SUBTOTAL(9,H373:H394)</f>
        <v>0</v>
      </c>
    </row>
    <row r="397" spans="1:10" x14ac:dyDescent="0.25">
      <c r="A397" s="130" t="s">
        <v>1005</v>
      </c>
      <c r="B397" s="130" t="s">
        <v>1006</v>
      </c>
      <c r="C397" s="135"/>
      <c r="D397" s="135"/>
      <c r="E397" s="135"/>
      <c r="F397" s="135"/>
      <c r="G397" s="135"/>
      <c r="H397" s="135"/>
      <c r="I397" s="136">
        <v>0</v>
      </c>
      <c r="J397" s="134" t="s">
        <v>359</v>
      </c>
    </row>
    <row r="399" spans="1:10" x14ac:dyDescent="0.25">
      <c r="A399" s="130" t="s">
        <v>1007</v>
      </c>
      <c r="B399" s="130" t="s">
        <v>1008</v>
      </c>
      <c r="C399" s="135"/>
      <c r="D399" s="135"/>
      <c r="E399" s="135"/>
      <c r="F399" s="135"/>
      <c r="G399" s="135"/>
      <c r="H399" s="135"/>
      <c r="I399" s="136">
        <v>0</v>
      </c>
      <c r="J399" s="134" t="s">
        <v>359</v>
      </c>
    </row>
    <row r="400" spans="1:10" x14ac:dyDescent="0.25">
      <c r="A400" s="131"/>
      <c r="B400" s="131"/>
      <c r="C400" s="137">
        <v>43585</v>
      </c>
      <c r="D400" s="134" t="s">
        <v>571</v>
      </c>
      <c r="E400" s="134" t="s">
        <v>418</v>
      </c>
      <c r="F400" s="134" t="s">
        <v>982</v>
      </c>
      <c r="G400" s="136">
        <v>361.62</v>
      </c>
      <c r="H400" s="136">
        <v>0</v>
      </c>
      <c r="I400" s="136">
        <v>361.62</v>
      </c>
      <c r="J400" s="134" t="s">
        <v>359</v>
      </c>
    </row>
    <row r="401" spans="1:10" x14ac:dyDescent="0.25">
      <c r="A401" s="131"/>
      <c r="B401" s="131"/>
      <c r="C401" s="137">
        <v>43615</v>
      </c>
      <c r="D401" s="134" t="s">
        <v>1009</v>
      </c>
      <c r="E401" s="134" t="s">
        <v>420</v>
      </c>
      <c r="F401" s="134" t="s">
        <v>1010</v>
      </c>
      <c r="G401" s="136">
        <v>163.62</v>
      </c>
      <c r="H401" s="136">
        <v>0</v>
      </c>
      <c r="I401" s="136">
        <v>525.24</v>
      </c>
      <c r="J401" s="134" t="s">
        <v>359</v>
      </c>
    </row>
    <row r="402" spans="1:10" x14ac:dyDescent="0.25">
      <c r="A402" s="131"/>
      <c r="B402" s="131"/>
      <c r="C402" s="137">
        <v>43616</v>
      </c>
      <c r="D402" s="134" t="s">
        <v>571</v>
      </c>
      <c r="E402" s="134" t="s">
        <v>464</v>
      </c>
      <c r="F402" s="134" t="s">
        <v>885</v>
      </c>
      <c r="G402" s="136">
        <v>163.62</v>
      </c>
      <c r="H402" s="136">
        <v>0</v>
      </c>
      <c r="I402" s="136">
        <v>688.86</v>
      </c>
      <c r="J402" s="134" t="s">
        <v>359</v>
      </c>
    </row>
    <row r="403" spans="1:10" x14ac:dyDescent="0.25">
      <c r="A403" s="131"/>
      <c r="B403" s="131"/>
      <c r="C403" s="137">
        <v>43677</v>
      </c>
      <c r="D403" s="134" t="s">
        <v>571</v>
      </c>
      <c r="E403" s="134" t="s">
        <v>572</v>
      </c>
      <c r="F403" s="134" t="s">
        <v>573</v>
      </c>
      <c r="G403" s="136">
        <v>264.93</v>
      </c>
      <c r="H403" s="136">
        <v>0</v>
      </c>
      <c r="I403" s="136">
        <v>953.79</v>
      </c>
      <c r="J403" s="134" t="s">
        <v>359</v>
      </c>
    </row>
    <row r="404" spans="1:10" x14ac:dyDescent="0.25">
      <c r="A404" s="131"/>
      <c r="B404" s="131"/>
      <c r="C404" s="137">
        <v>43708</v>
      </c>
      <c r="D404" s="134" t="s">
        <v>588</v>
      </c>
      <c r="E404" s="134" t="s">
        <v>589</v>
      </c>
      <c r="F404" s="134" t="s">
        <v>590</v>
      </c>
      <c r="G404" s="136">
        <v>262.63</v>
      </c>
      <c r="H404" s="136">
        <v>0</v>
      </c>
      <c r="I404" s="136">
        <v>1216.42</v>
      </c>
      <c r="J404" s="134" t="s">
        <v>359</v>
      </c>
    </row>
    <row r="405" spans="1:10" x14ac:dyDescent="0.25">
      <c r="A405" s="131"/>
      <c r="B405" s="131"/>
      <c r="C405" s="137">
        <v>43769</v>
      </c>
      <c r="D405" s="134" t="s">
        <v>588</v>
      </c>
      <c r="E405" s="134" t="s">
        <v>992</v>
      </c>
      <c r="F405" s="134" t="s">
        <v>993</v>
      </c>
      <c r="G405" s="136">
        <v>361.63</v>
      </c>
      <c r="H405" s="136">
        <v>0</v>
      </c>
      <c r="I405" s="136">
        <v>1578.05</v>
      </c>
      <c r="J405" s="134" t="s">
        <v>359</v>
      </c>
    </row>
    <row r="406" spans="1:10" x14ac:dyDescent="0.25">
      <c r="A406" s="131"/>
      <c r="B406" s="131"/>
      <c r="C406" s="137">
        <v>43774</v>
      </c>
      <c r="D406" s="134" t="s">
        <v>1011</v>
      </c>
      <c r="E406" s="134" t="s">
        <v>1012</v>
      </c>
      <c r="F406" s="134" t="s">
        <v>1013</v>
      </c>
      <c r="G406" s="136">
        <v>198</v>
      </c>
      <c r="H406" s="136">
        <v>0</v>
      </c>
      <c r="I406" s="136">
        <v>1776.05</v>
      </c>
      <c r="J406" s="134" t="s">
        <v>359</v>
      </c>
    </row>
    <row r="407" spans="1:10" x14ac:dyDescent="0.25">
      <c r="A407" s="131"/>
      <c r="B407" s="131"/>
      <c r="C407" s="137">
        <v>43798</v>
      </c>
      <c r="D407" s="134" t="s">
        <v>1011</v>
      </c>
      <c r="E407" s="134" t="s">
        <v>1014</v>
      </c>
      <c r="F407" s="134" t="s">
        <v>1015</v>
      </c>
      <c r="G407" s="136">
        <v>163.63</v>
      </c>
      <c r="H407" s="136">
        <v>0</v>
      </c>
      <c r="I407" s="136">
        <v>1939.68</v>
      </c>
      <c r="J407" s="134" t="s">
        <v>359</v>
      </c>
    </row>
    <row r="408" spans="1:10" x14ac:dyDescent="0.25">
      <c r="A408" s="131"/>
      <c r="B408" s="131"/>
      <c r="C408" s="137">
        <v>43830</v>
      </c>
      <c r="D408" s="134" t="s">
        <v>1011</v>
      </c>
      <c r="E408" s="134" t="s">
        <v>1016</v>
      </c>
      <c r="F408" s="134" t="s">
        <v>1017</v>
      </c>
      <c r="G408" s="136">
        <v>165.51</v>
      </c>
      <c r="H408" s="136">
        <v>0</v>
      </c>
      <c r="I408" s="136">
        <v>2105.19</v>
      </c>
      <c r="J408" s="134" t="s">
        <v>359</v>
      </c>
    </row>
    <row r="409" spans="1:10" x14ac:dyDescent="0.25">
      <c r="A409" s="131"/>
      <c r="B409" s="131"/>
      <c r="C409" s="137">
        <v>43837</v>
      </c>
      <c r="D409" s="134" t="s">
        <v>1011</v>
      </c>
      <c r="E409" s="134" t="s">
        <v>1018</v>
      </c>
      <c r="F409" s="134" t="s">
        <v>1019</v>
      </c>
      <c r="G409" s="136">
        <v>163.62</v>
      </c>
      <c r="H409" s="136">
        <v>0</v>
      </c>
      <c r="I409" s="136">
        <v>2268.81</v>
      </c>
      <c r="J409" s="134" t="s">
        <v>359</v>
      </c>
    </row>
    <row r="410" spans="1:10" x14ac:dyDescent="0.25">
      <c r="A410" s="131"/>
      <c r="B410" s="131"/>
      <c r="C410" s="137">
        <v>43846</v>
      </c>
      <c r="D410" s="134" t="s">
        <v>1011</v>
      </c>
      <c r="E410" s="134" t="s">
        <v>1020</v>
      </c>
      <c r="F410" s="134" t="s">
        <v>1021</v>
      </c>
      <c r="G410" s="136">
        <v>101.2</v>
      </c>
      <c r="H410" s="136">
        <v>0</v>
      </c>
      <c r="I410" s="136">
        <v>2370.0100000000002</v>
      </c>
      <c r="J410" s="134" t="s">
        <v>359</v>
      </c>
    </row>
    <row r="411" spans="1:10" x14ac:dyDescent="0.25">
      <c r="A411" s="131"/>
      <c r="B411" s="131"/>
      <c r="C411" s="137">
        <v>43846</v>
      </c>
      <c r="D411" s="134" t="s">
        <v>1011</v>
      </c>
      <c r="E411" s="134" t="s">
        <v>1022</v>
      </c>
      <c r="F411" s="134" t="s">
        <v>1023</v>
      </c>
      <c r="G411" s="136">
        <v>101.2</v>
      </c>
      <c r="H411" s="136">
        <v>0</v>
      </c>
      <c r="I411" s="136">
        <v>2471.21</v>
      </c>
      <c r="J411" s="134" t="s">
        <v>359</v>
      </c>
    </row>
    <row r="412" spans="1:10" x14ac:dyDescent="0.25">
      <c r="A412" s="131"/>
      <c r="B412" s="131"/>
      <c r="C412" s="137">
        <v>43890</v>
      </c>
      <c r="D412" s="134" t="s">
        <v>571</v>
      </c>
      <c r="E412" s="134" t="s">
        <v>1024</v>
      </c>
      <c r="F412" s="134" t="s">
        <v>1025</v>
      </c>
      <c r="G412" s="136">
        <v>165.51</v>
      </c>
      <c r="H412" s="136">
        <v>0</v>
      </c>
      <c r="I412" s="136">
        <v>2636.72</v>
      </c>
      <c r="J412" s="134" t="s">
        <v>359</v>
      </c>
    </row>
    <row r="413" spans="1:10" x14ac:dyDescent="0.25">
      <c r="A413" s="131"/>
      <c r="B413" s="131"/>
      <c r="C413" s="137">
        <v>43900</v>
      </c>
      <c r="D413" s="134" t="s">
        <v>1011</v>
      </c>
      <c r="E413" s="134" t="s">
        <v>1026</v>
      </c>
      <c r="F413" s="134" t="s">
        <v>1027</v>
      </c>
      <c r="G413" s="136">
        <v>259.60000000000002</v>
      </c>
      <c r="H413" s="136">
        <v>0</v>
      </c>
      <c r="I413" s="136">
        <v>2896.32</v>
      </c>
      <c r="J413" s="134" t="s">
        <v>359</v>
      </c>
    </row>
    <row r="414" spans="1:10" x14ac:dyDescent="0.25">
      <c r="A414" s="131"/>
      <c r="B414" s="131"/>
      <c r="C414" s="137">
        <v>43903</v>
      </c>
      <c r="D414" s="134" t="s">
        <v>1011</v>
      </c>
      <c r="E414" s="134" t="s">
        <v>1028</v>
      </c>
      <c r="F414" s="134" t="s">
        <v>1029</v>
      </c>
      <c r="G414" s="138">
        <v>202.4</v>
      </c>
      <c r="H414" s="138">
        <v>0</v>
      </c>
      <c r="I414" s="136">
        <v>3098.72</v>
      </c>
      <c r="J414" s="134" t="s">
        <v>359</v>
      </c>
    </row>
    <row r="415" spans="1:10" x14ac:dyDescent="0.25">
      <c r="A415" s="131"/>
      <c r="B415" s="131"/>
      <c r="C415" s="131"/>
      <c r="D415" s="131"/>
      <c r="E415" s="131"/>
      <c r="F415" s="131"/>
      <c r="G415" s="136">
        <f>SUBTOTAL(9,G400:G414)</f>
        <v>3098.7200000000003</v>
      </c>
      <c r="H415" s="136">
        <f>SUBTOTAL(9,H400:H414)</f>
        <v>0</v>
      </c>
    </row>
    <row r="417" spans="1:10" x14ac:dyDescent="0.25">
      <c r="A417" s="130" t="s">
        <v>1030</v>
      </c>
      <c r="B417" s="130" t="s">
        <v>1031</v>
      </c>
      <c r="C417" s="135"/>
      <c r="D417" s="135"/>
      <c r="E417" s="135"/>
      <c r="F417" s="135"/>
      <c r="G417" s="135"/>
      <c r="H417" s="135"/>
      <c r="I417" s="136">
        <v>0</v>
      </c>
      <c r="J417" s="134" t="s">
        <v>359</v>
      </c>
    </row>
    <row r="418" spans="1:10" x14ac:dyDescent="0.25">
      <c r="A418" s="131"/>
      <c r="B418" s="131"/>
      <c r="C418" s="137">
        <v>43677</v>
      </c>
      <c r="D418" s="134" t="s">
        <v>1032</v>
      </c>
      <c r="E418" s="134" t="s">
        <v>1033</v>
      </c>
      <c r="F418" s="134" t="s">
        <v>1034</v>
      </c>
      <c r="G418" s="136">
        <v>165</v>
      </c>
      <c r="H418" s="136">
        <v>0</v>
      </c>
      <c r="I418" s="136">
        <v>165</v>
      </c>
      <c r="J418" s="134" t="s">
        <v>359</v>
      </c>
    </row>
    <row r="419" spans="1:10" x14ac:dyDescent="0.25">
      <c r="A419" s="131"/>
      <c r="B419" s="131"/>
      <c r="C419" s="137">
        <v>43739</v>
      </c>
      <c r="D419" s="134" t="s">
        <v>1035</v>
      </c>
      <c r="E419" s="134" t="s">
        <v>1036</v>
      </c>
      <c r="F419" s="134" t="s">
        <v>1037</v>
      </c>
      <c r="G419" s="138">
        <v>2376</v>
      </c>
      <c r="H419" s="138">
        <v>0</v>
      </c>
      <c r="I419" s="136">
        <v>2541</v>
      </c>
      <c r="J419" s="134" t="s">
        <v>359</v>
      </c>
    </row>
    <row r="420" spans="1:10" x14ac:dyDescent="0.25">
      <c r="A420" s="131"/>
      <c r="B420" s="131"/>
      <c r="C420" s="131"/>
      <c r="D420" s="131"/>
      <c r="E420" s="131"/>
      <c r="F420" s="131"/>
      <c r="G420" s="136">
        <f>SUBTOTAL(9,G418:G419)</f>
        <v>2541</v>
      </c>
      <c r="H420" s="136">
        <f>SUBTOTAL(9,H418:H419)</f>
        <v>0</v>
      </c>
    </row>
    <row r="422" spans="1:10" x14ac:dyDescent="0.25">
      <c r="A422" s="130" t="s">
        <v>1038</v>
      </c>
      <c r="B422" s="130" t="s">
        <v>1039</v>
      </c>
      <c r="C422" s="135"/>
      <c r="D422" s="135"/>
      <c r="E422" s="135"/>
      <c r="F422" s="135"/>
      <c r="G422" s="135"/>
      <c r="H422" s="135"/>
      <c r="I422" s="136">
        <v>1434.56</v>
      </c>
      <c r="J422" s="134" t="s">
        <v>359</v>
      </c>
    </row>
    <row r="423" spans="1:10" x14ac:dyDescent="0.25">
      <c r="A423" s="131"/>
      <c r="B423" s="131"/>
      <c r="C423" s="137">
        <v>43586</v>
      </c>
      <c r="D423" s="134" t="s">
        <v>1040</v>
      </c>
      <c r="E423" s="134" t="s">
        <v>464</v>
      </c>
      <c r="F423" s="134" t="s">
        <v>1041</v>
      </c>
      <c r="G423" s="136">
        <v>197.08</v>
      </c>
      <c r="H423" s="136">
        <v>0</v>
      </c>
      <c r="I423" s="136">
        <v>1631.64</v>
      </c>
      <c r="J423" s="134" t="s">
        <v>359</v>
      </c>
    </row>
    <row r="424" spans="1:10" x14ac:dyDescent="0.25">
      <c r="A424" s="131"/>
      <c r="B424" s="131"/>
      <c r="C424" s="137">
        <v>43586</v>
      </c>
      <c r="D424" s="134" t="s">
        <v>1042</v>
      </c>
      <c r="E424" s="134" t="s">
        <v>464</v>
      </c>
      <c r="F424" s="134" t="s">
        <v>1043</v>
      </c>
      <c r="G424" s="136">
        <v>197.08</v>
      </c>
      <c r="H424" s="136">
        <v>0</v>
      </c>
      <c r="I424" s="136">
        <v>1828.72</v>
      </c>
      <c r="J424" s="134" t="s">
        <v>359</v>
      </c>
    </row>
    <row r="425" spans="1:10" x14ac:dyDescent="0.25">
      <c r="A425" s="131"/>
      <c r="B425" s="131"/>
      <c r="C425" s="137">
        <v>43586</v>
      </c>
      <c r="D425" s="134" t="s">
        <v>1044</v>
      </c>
      <c r="E425" s="134" t="s">
        <v>464</v>
      </c>
      <c r="F425" s="134" t="s">
        <v>1045</v>
      </c>
      <c r="G425" s="136">
        <v>197.08</v>
      </c>
      <c r="H425" s="136">
        <v>0</v>
      </c>
      <c r="I425" s="136">
        <v>2025.8</v>
      </c>
      <c r="J425" s="134" t="s">
        <v>359</v>
      </c>
    </row>
    <row r="426" spans="1:10" x14ac:dyDescent="0.25">
      <c r="A426" s="131"/>
      <c r="B426" s="131"/>
      <c r="C426" s="137">
        <v>43586</v>
      </c>
      <c r="D426" s="134" t="s">
        <v>1046</v>
      </c>
      <c r="E426" s="134" t="s">
        <v>464</v>
      </c>
      <c r="F426" s="134" t="s">
        <v>1047</v>
      </c>
      <c r="G426" s="136">
        <v>197.08</v>
      </c>
      <c r="H426" s="136">
        <v>0</v>
      </c>
      <c r="I426" s="136">
        <v>2222.88</v>
      </c>
      <c r="J426" s="134" t="s">
        <v>359</v>
      </c>
    </row>
    <row r="427" spans="1:10" x14ac:dyDescent="0.25">
      <c r="A427" s="131"/>
      <c r="B427" s="131"/>
      <c r="C427" s="137">
        <v>43586</v>
      </c>
      <c r="D427" s="134" t="s">
        <v>1048</v>
      </c>
      <c r="E427" s="134" t="s">
        <v>464</v>
      </c>
      <c r="F427" s="134" t="s">
        <v>1049</v>
      </c>
      <c r="G427" s="136">
        <v>197.08</v>
      </c>
      <c r="H427" s="136">
        <v>0</v>
      </c>
      <c r="I427" s="136">
        <v>2419.96</v>
      </c>
      <c r="J427" s="134" t="s">
        <v>359</v>
      </c>
    </row>
    <row r="428" spans="1:10" x14ac:dyDescent="0.25">
      <c r="A428" s="131"/>
      <c r="B428" s="131"/>
      <c r="C428" s="137">
        <v>43586</v>
      </c>
      <c r="D428" s="134" t="s">
        <v>1050</v>
      </c>
      <c r="E428" s="134" t="s">
        <v>464</v>
      </c>
      <c r="F428" s="134" t="s">
        <v>1051</v>
      </c>
      <c r="G428" s="136">
        <v>197.08</v>
      </c>
      <c r="H428" s="136">
        <v>0</v>
      </c>
      <c r="I428" s="136">
        <v>2617.04</v>
      </c>
      <c r="J428" s="134" t="s">
        <v>359</v>
      </c>
    </row>
    <row r="429" spans="1:10" x14ac:dyDescent="0.25">
      <c r="A429" s="131"/>
      <c r="B429" s="131"/>
      <c r="C429" s="137">
        <v>43586</v>
      </c>
      <c r="D429" s="134" t="s">
        <v>1052</v>
      </c>
      <c r="E429" s="134" t="s">
        <v>464</v>
      </c>
      <c r="F429" s="134" t="s">
        <v>1053</v>
      </c>
      <c r="G429" s="136">
        <v>252.08</v>
      </c>
      <c r="H429" s="136">
        <v>0</v>
      </c>
      <c r="I429" s="136">
        <v>2869.12</v>
      </c>
      <c r="J429" s="134" t="s">
        <v>359</v>
      </c>
    </row>
    <row r="430" spans="1:10" x14ac:dyDescent="0.25">
      <c r="A430" s="131"/>
      <c r="B430" s="131"/>
      <c r="C430" s="137">
        <v>43617</v>
      </c>
      <c r="D430" s="134" t="s">
        <v>1054</v>
      </c>
      <c r="E430" s="134" t="s">
        <v>420</v>
      </c>
      <c r="F430" s="134" t="s">
        <v>1055</v>
      </c>
      <c r="G430" s="136">
        <v>197.08</v>
      </c>
      <c r="H430" s="136">
        <v>0</v>
      </c>
      <c r="I430" s="136">
        <v>3066.2</v>
      </c>
      <c r="J430" s="134" t="s">
        <v>359</v>
      </c>
    </row>
    <row r="431" spans="1:10" x14ac:dyDescent="0.25">
      <c r="A431" s="131"/>
      <c r="B431" s="131"/>
      <c r="C431" s="137">
        <v>43617</v>
      </c>
      <c r="D431" s="134" t="s">
        <v>1056</v>
      </c>
      <c r="E431" s="134" t="s">
        <v>420</v>
      </c>
      <c r="F431" s="134" t="s">
        <v>1057</v>
      </c>
      <c r="G431" s="136">
        <v>197.08</v>
      </c>
      <c r="H431" s="136">
        <v>0</v>
      </c>
      <c r="I431" s="136">
        <v>3263.28</v>
      </c>
      <c r="J431" s="134" t="s">
        <v>359</v>
      </c>
    </row>
    <row r="432" spans="1:10" x14ac:dyDescent="0.25">
      <c r="A432" s="131"/>
      <c r="B432" s="131"/>
      <c r="C432" s="137">
        <v>43617</v>
      </c>
      <c r="D432" s="134" t="s">
        <v>1058</v>
      </c>
      <c r="E432" s="134" t="s">
        <v>420</v>
      </c>
      <c r="F432" s="134" t="s">
        <v>1059</v>
      </c>
      <c r="G432" s="136">
        <v>197.08</v>
      </c>
      <c r="H432" s="136">
        <v>0</v>
      </c>
      <c r="I432" s="136">
        <v>3460.36</v>
      </c>
      <c r="J432" s="134" t="s">
        <v>359</v>
      </c>
    </row>
    <row r="433" spans="1:10" x14ac:dyDescent="0.25">
      <c r="A433" s="131"/>
      <c r="B433" s="131"/>
      <c r="C433" s="137">
        <v>43617</v>
      </c>
      <c r="D433" s="134" t="s">
        <v>1060</v>
      </c>
      <c r="E433" s="134" t="s">
        <v>420</v>
      </c>
      <c r="F433" s="134" t="s">
        <v>1061</v>
      </c>
      <c r="G433" s="136">
        <v>197.08</v>
      </c>
      <c r="H433" s="136">
        <v>0</v>
      </c>
      <c r="I433" s="136">
        <v>3657.44</v>
      </c>
      <c r="J433" s="134" t="s">
        <v>359</v>
      </c>
    </row>
    <row r="434" spans="1:10" x14ac:dyDescent="0.25">
      <c r="A434" s="131"/>
      <c r="B434" s="131"/>
      <c r="C434" s="137">
        <v>43617</v>
      </c>
      <c r="D434" s="134" t="s">
        <v>1062</v>
      </c>
      <c r="E434" s="134" t="s">
        <v>420</v>
      </c>
      <c r="F434" s="134" t="s">
        <v>1063</v>
      </c>
      <c r="G434" s="136">
        <v>252.08</v>
      </c>
      <c r="H434" s="136">
        <v>0</v>
      </c>
      <c r="I434" s="136">
        <v>3909.52</v>
      </c>
      <c r="J434" s="134" t="s">
        <v>359</v>
      </c>
    </row>
    <row r="435" spans="1:10" x14ac:dyDescent="0.25">
      <c r="A435" s="131"/>
      <c r="B435" s="131"/>
      <c r="C435" s="137">
        <v>43617</v>
      </c>
      <c r="D435" s="134" t="s">
        <v>1064</v>
      </c>
      <c r="E435" s="134" t="s">
        <v>420</v>
      </c>
      <c r="F435" s="134" t="s">
        <v>1065</v>
      </c>
      <c r="G435" s="136">
        <v>197.08</v>
      </c>
      <c r="H435" s="136">
        <v>0</v>
      </c>
      <c r="I435" s="136">
        <v>4106.6000000000004</v>
      </c>
      <c r="J435" s="134" t="s">
        <v>359</v>
      </c>
    </row>
    <row r="436" spans="1:10" x14ac:dyDescent="0.25">
      <c r="A436" s="131"/>
      <c r="B436" s="131"/>
      <c r="C436" s="137">
        <v>43617</v>
      </c>
      <c r="D436" s="134" t="s">
        <v>1066</v>
      </c>
      <c r="E436" s="134" t="s">
        <v>420</v>
      </c>
      <c r="F436" s="134" t="s">
        <v>1067</v>
      </c>
      <c r="G436" s="136">
        <v>197.08</v>
      </c>
      <c r="H436" s="136">
        <v>0</v>
      </c>
      <c r="I436" s="136">
        <v>4303.68</v>
      </c>
      <c r="J436" s="134" t="s">
        <v>359</v>
      </c>
    </row>
    <row r="437" spans="1:10" x14ac:dyDescent="0.25">
      <c r="A437" s="131"/>
      <c r="B437" s="131"/>
      <c r="C437" s="137">
        <v>43647</v>
      </c>
      <c r="D437" s="134" t="s">
        <v>1068</v>
      </c>
      <c r="E437" s="134" t="s">
        <v>422</v>
      </c>
      <c r="F437" s="134" t="s">
        <v>1069</v>
      </c>
      <c r="G437" s="136">
        <v>197.08</v>
      </c>
      <c r="H437" s="136">
        <v>0</v>
      </c>
      <c r="I437" s="136">
        <v>4500.76</v>
      </c>
      <c r="J437" s="134" t="s">
        <v>359</v>
      </c>
    </row>
    <row r="438" spans="1:10" x14ac:dyDescent="0.25">
      <c r="A438" s="131"/>
      <c r="B438" s="131"/>
      <c r="C438" s="137">
        <v>43647</v>
      </c>
      <c r="D438" s="134" t="s">
        <v>1070</v>
      </c>
      <c r="E438" s="134" t="s">
        <v>422</v>
      </c>
      <c r="F438" s="134" t="s">
        <v>1071</v>
      </c>
      <c r="G438" s="136">
        <v>197.08</v>
      </c>
      <c r="H438" s="136">
        <v>0</v>
      </c>
      <c r="I438" s="136">
        <v>4697.84</v>
      </c>
      <c r="J438" s="134" t="s">
        <v>359</v>
      </c>
    </row>
    <row r="439" spans="1:10" x14ac:dyDescent="0.25">
      <c r="A439" s="131"/>
      <c r="B439" s="131"/>
      <c r="C439" s="137">
        <v>43647</v>
      </c>
      <c r="D439" s="134" t="s">
        <v>1072</v>
      </c>
      <c r="E439" s="134" t="s">
        <v>422</v>
      </c>
      <c r="F439" s="134" t="s">
        <v>1073</v>
      </c>
      <c r="G439" s="136">
        <v>197.08</v>
      </c>
      <c r="H439" s="136">
        <v>0</v>
      </c>
      <c r="I439" s="136">
        <v>4894.92</v>
      </c>
      <c r="J439" s="134" t="s">
        <v>359</v>
      </c>
    </row>
    <row r="440" spans="1:10" x14ac:dyDescent="0.25">
      <c r="A440" s="131"/>
      <c r="B440" s="131"/>
      <c r="C440" s="137">
        <v>43647</v>
      </c>
      <c r="D440" s="134" t="s">
        <v>1074</v>
      </c>
      <c r="E440" s="134" t="s">
        <v>422</v>
      </c>
      <c r="F440" s="134" t="s">
        <v>1075</v>
      </c>
      <c r="G440" s="136">
        <v>197.08</v>
      </c>
      <c r="H440" s="136">
        <v>0</v>
      </c>
      <c r="I440" s="136">
        <v>5092</v>
      </c>
      <c r="J440" s="134" t="s">
        <v>359</v>
      </c>
    </row>
    <row r="441" spans="1:10" x14ac:dyDescent="0.25">
      <c r="A441" s="131"/>
      <c r="B441" s="131"/>
      <c r="C441" s="137">
        <v>43647</v>
      </c>
      <c r="D441" s="134" t="s">
        <v>1076</v>
      </c>
      <c r="E441" s="134" t="s">
        <v>422</v>
      </c>
      <c r="F441" s="134" t="s">
        <v>1077</v>
      </c>
      <c r="G441" s="136">
        <v>197.08</v>
      </c>
      <c r="H441" s="136">
        <v>0</v>
      </c>
      <c r="I441" s="136">
        <v>5289.08</v>
      </c>
      <c r="J441" s="134" t="s">
        <v>359</v>
      </c>
    </row>
    <row r="442" spans="1:10" x14ac:dyDescent="0.25">
      <c r="A442" s="131"/>
      <c r="B442" s="131"/>
      <c r="C442" s="137">
        <v>43647</v>
      </c>
      <c r="D442" s="134" t="s">
        <v>1078</v>
      </c>
      <c r="E442" s="134" t="s">
        <v>422</v>
      </c>
      <c r="F442" s="134" t="s">
        <v>1079</v>
      </c>
      <c r="G442" s="136">
        <v>197.08</v>
      </c>
      <c r="H442" s="136">
        <v>0</v>
      </c>
      <c r="I442" s="136">
        <v>5486.16</v>
      </c>
      <c r="J442" s="134" t="s">
        <v>359</v>
      </c>
    </row>
    <row r="443" spans="1:10" x14ac:dyDescent="0.25">
      <c r="A443" s="131"/>
      <c r="B443" s="131"/>
      <c r="C443" s="137">
        <v>43647</v>
      </c>
      <c r="D443" s="134" t="s">
        <v>1080</v>
      </c>
      <c r="E443" s="134" t="s">
        <v>422</v>
      </c>
      <c r="F443" s="134" t="s">
        <v>1081</v>
      </c>
      <c r="G443" s="136">
        <v>252.08</v>
      </c>
      <c r="H443" s="136">
        <v>0</v>
      </c>
      <c r="I443" s="136">
        <v>5738.24</v>
      </c>
      <c r="J443" s="134" t="s">
        <v>359</v>
      </c>
    </row>
    <row r="444" spans="1:10" x14ac:dyDescent="0.25">
      <c r="A444" s="131"/>
      <c r="B444" s="131"/>
      <c r="C444" s="137">
        <v>43678</v>
      </c>
      <c r="D444" s="134" t="s">
        <v>1082</v>
      </c>
      <c r="E444" s="134" t="s">
        <v>529</v>
      </c>
      <c r="F444" s="134" t="s">
        <v>1083</v>
      </c>
      <c r="G444" s="136">
        <v>197.08</v>
      </c>
      <c r="H444" s="136">
        <v>0</v>
      </c>
      <c r="I444" s="136">
        <v>5935.32</v>
      </c>
      <c r="J444" s="134" t="s">
        <v>359</v>
      </c>
    </row>
    <row r="445" spans="1:10" x14ac:dyDescent="0.25">
      <c r="A445" s="131"/>
      <c r="B445" s="131"/>
      <c r="C445" s="137">
        <v>43678</v>
      </c>
      <c r="D445" s="134" t="s">
        <v>1084</v>
      </c>
      <c r="E445" s="134" t="s">
        <v>529</v>
      </c>
      <c r="F445" s="134" t="s">
        <v>1085</v>
      </c>
      <c r="G445" s="136">
        <v>197.08</v>
      </c>
      <c r="H445" s="136">
        <v>0</v>
      </c>
      <c r="I445" s="136">
        <v>6132.4</v>
      </c>
      <c r="J445" s="134" t="s">
        <v>359</v>
      </c>
    </row>
    <row r="446" spans="1:10" x14ac:dyDescent="0.25">
      <c r="A446" s="131"/>
      <c r="B446" s="131"/>
      <c r="C446" s="137">
        <v>43678</v>
      </c>
      <c r="D446" s="134" t="s">
        <v>1086</v>
      </c>
      <c r="E446" s="134" t="s">
        <v>529</v>
      </c>
      <c r="F446" s="134" t="s">
        <v>1087</v>
      </c>
      <c r="G446" s="136">
        <v>197.08</v>
      </c>
      <c r="H446" s="136">
        <v>0</v>
      </c>
      <c r="I446" s="136">
        <v>6329.48</v>
      </c>
      <c r="J446" s="134" t="s">
        <v>359</v>
      </c>
    </row>
    <row r="447" spans="1:10" x14ac:dyDescent="0.25">
      <c r="A447" s="131"/>
      <c r="B447" s="131"/>
      <c r="C447" s="137">
        <v>43678</v>
      </c>
      <c r="D447" s="134" t="s">
        <v>1088</v>
      </c>
      <c r="E447" s="134" t="s">
        <v>529</v>
      </c>
      <c r="F447" s="134" t="s">
        <v>1089</v>
      </c>
      <c r="G447" s="136">
        <v>197.08</v>
      </c>
      <c r="H447" s="136">
        <v>0</v>
      </c>
      <c r="I447" s="136">
        <v>6526.56</v>
      </c>
      <c r="J447" s="134" t="s">
        <v>359</v>
      </c>
    </row>
    <row r="448" spans="1:10" x14ac:dyDescent="0.25">
      <c r="A448" s="131"/>
      <c r="B448" s="131"/>
      <c r="C448" s="137">
        <v>43678</v>
      </c>
      <c r="D448" s="134" t="s">
        <v>1090</v>
      </c>
      <c r="E448" s="134" t="s">
        <v>529</v>
      </c>
      <c r="F448" s="134" t="s">
        <v>1091</v>
      </c>
      <c r="G448" s="136">
        <v>197.08</v>
      </c>
      <c r="H448" s="136">
        <v>0</v>
      </c>
      <c r="I448" s="136">
        <v>6723.64</v>
      </c>
      <c r="J448" s="134" t="s">
        <v>359</v>
      </c>
    </row>
    <row r="449" spans="1:10" x14ac:dyDescent="0.25">
      <c r="A449" s="131"/>
      <c r="B449" s="131"/>
      <c r="C449" s="137">
        <v>43678</v>
      </c>
      <c r="D449" s="134" t="s">
        <v>1092</v>
      </c>
      <c r="E449" s="134" t="s">
        <v>529</v>
      </c>
      <c r="F449" s="134" t="s">
        <v>1093</v>
      </c>
      <c r="G449" s="136">
        <v>197.08</v>
      </c>
      <c r="H449" s="136">
        <v>0</v>
      </c>
      <c r="I449" s="136">
        <v>6920.72</v>
      </c>
      <c r="J449" s="134" t="s">
        <v>359</v>
      </c>
    </row>
    <row r="450" spans="1:10" x14ac:dyDescent="0.25">
      <c r="A450" s="131"/>
      <c r="B450" s="131"/>
      <c r="C450" s="137">
        <v>43678</v>
      </c>
      <c r="D450" s="134" t="s">
        <v>1094</v>
      </c>
      <c r="E450" s="134" t="s">
        <v>529</v>
      </c>
      <c r="F450" s="134" t="s">
        <v>1095</v>
      </c>
      <c r="G450" s="136">
        <v>252.08</v>
      </c>
      <c r="H450" s="136">
        <v>0</v>
      </c>
      <c r="I450" s="136">
        <v>7172.8</v>
      </c>
      <c r="J450" s="134" t="s">
        <v>359</v>
      </c>
    </row>
    <row r="451" spans="1:10" x14ac:dyDescent="0.25">
      <c r="A451" s="131"/>
      <c r="B451" s="131"/>
      <c r="C451" s="137">
        <v>43709</v>
      </c>
      <c r="D451" s="134" t="s">
        <v>1096</v>
      </c>
      <c r="E451" s="134" t="s">
        <v>919</v>
      </c>
      <c r="F451" s="134" t="s">
        <v>1097</v>
      </c>
      <c r="G451" s="136">
        <v>197.08</v>
      </c>
      <c r="H451" s="136">
        <v>0</v>
      </c>
      <c r="I451" s="136">
        <v>7369.88</v>
      </c>
      <c r="J451" s="134" t="s">
        <v>359</v>
      </c>
    </row>
    <row r="452" spans="1:10" x14ac:dyDescent="0.25">
      <c r="A452" s="131"/>
      <c r="B452" s="131"/>
      <c r="C452" s="137">
        <v>43709</v>
      </c>
      <c r="D452" s="134" t="s">
        <v>1098</v>
      </c>
      <c r="E452" s="134" t="s">
        <v>919</v>
      </c>
      <c r="F452" s="134" t="s">
        <v>1099</v>
      </c>
      <c r="G452" s="136">
        <v>197.08</v>
      </c>
      <c r="H452" s="136">
        <v>0</v>
      </c>
      <c r="I452" s="136">
        <v>7566.96</v>
      </c>
      <c r="J452" s="134" t="s">
        <v>359</v>
      </c>
    </row>
    <row r="453" spans="1:10" x14ac:dyDescent="0.25">
      <c r="A453" s="131"/>
      <c r="B453" s="131"/>
      <c r="C453" s="137">
        <v>43709</v>
      </c>
      <c r="D453" s="134" t="s">
        <v>1100</v>
      </c>
      <c r="E453" s="134" t="s">
        <v>919</v>
      </c>
      <c r="F453" s="134" t="s">
        <v>1101</v>
      </c>
      <c r="G453" s="136">
        <v>197.08</v>
      </c>
      <c r="H453" s="136">
        <v>0</v>
      </c>
      <c r="I453" s="136">
        <v>7764.04</v>
      </c>
      <c r="J453" s="134" t="s">
        <v>359</v>
      </c>
    </row>
    <row r="454" spans="1:10" x14ac:dyDescent="0.25">
      <c r="A454" s="131"/>
      <c r="B454" s="131"/>
      <c r="C454" s="137">
        <v>43709</v>
      </c>
      <c r="D454" s="134" t="s">
        <v>1102</v>
      </c>
      <c r="E454" s="134" t="s">
        <v>919</v>
      </c>
      <c r="F454" s="134" t="s">
        <v>1103</v>
      </c>
      <c r="G454" s="136">
        <v>197.08</v>
      </c>
      <c r="H454" s="136">
        <v>0</v>
      </c>
      <c r="I454" s="136">
        <v>7961.12</v>
      </c>
      <c r="J454" s="134" t="s">
        <v>359</v>
      </c>
    </row>
    <row r="455" spans="1:10" x14ac:dyDescent="0.25">
      <c r="A455" s="131"/>
      <c r="B455" s="131"/>
      <c r="C455" s="137">
        <v>43709</v>
      </c>
      <c r="D455" s="134" t="s">
        <v>1104</v>
      </c>
      <c r="E455" s="134" t="s">
        <v>919</v>
      </c>
      <c r="F455" s="134" t="s">
        <v>1105</v>
      </c>
      <c r="G455" s="136">
        <v>197.08</v>
      </c>
      <c r="H455" s="136">
        <v>0</v>
      </c>
      <c r="I455" s="136">
        <v>8158.2</v>
      </c>
      <c r="J455" s="134" t="s">
        <v>359</v>
      </c>
    </row>
    <row r="456" spans="1:10" x14ac:dyDescent="0.25">
      <c r="A456" s="131"/>
      <c r="B456" s="131"/>
      <c r="C456" s="137">
        <v>43709</v>
      </c>
      <c r="D456" s="134" t="s">
        <v>1106</v>
      </c>
      <c r="E456" s="134" t="s">
        <v>919</v>
      </c>
      <c r="F456" s="134" t="s">
        <v>1107</v>
      </c>
      <c r="G456" s="136">
        <v>197.08</v>
      </c>
      <c r="H456" s="136">
        <v>0</v>
      </c>
      <c r="I456" s="136">
        <v>8355.2800000000007</v>
      </c>
      <c r="J456" s="134" t="s">
        <v>359</v>
      </c>
    </row>
    <row r="457" spans="1:10" x14ac:dyDescent="0.25">
      <c r="A457" s="131"/>
      <c r="B457" s="131"/>
      <c r="C457" s="137">
        <v>43709</v>
      </c>
      <c r="D457" s="134" t="s">
        <v>1108</v>
      </c>
      <c r="E457" s="134" t="s">
        <v>919</v>
      </c>
      <c r="F457" s="134" t="s">
        <v>1109</v>
      </c>
      <c r="G457" s="136">
        <v>252.08</v>
      </c>
      <c r="H457" s="136">
        <v>0</v>
      </c>
      <c r="I457" s="136">
        <v>8607.36</v>
      </c>
      <c r="J457" s="134" t="s">
        <v>359</v>
      </c>
    </row>
    <row r="458" spans="1:10" x14ac:dyDescent="0.25">
      <c r="A458" s="131"/>
      <c r="B458" s="131"/>
      <c r="C458" s="137">
        <v>43739</v>
      </c>
      <c r="D458" s="134" t="s">
        <v>1110</v>
      </c>
      <c r="E458" s="134" t="s">
        <v>427</v>
      </c>
      <c r="F458" s="134" t="s">
        <v>1111</v>
      </c>
      <c r="G458" s="136">
        <v>197.08</v>
      </c>
      <c r="H458" s="136">
        <v>0</v>
      </c>
      <c r="I458" s="136">
        <v>8804.44</v>
      </c>
      <c r="J458" s="134" t="s">
        <v>359</v>
      </c>
    </row>
    <row r="459" spans="1:10" x14ac:dyDescent="0.25">
      <c r="A459" s="131"/>
      <c r="B459" s="131"/>
      <c r="C459" s="137">
        <v>43739</v>
      </c>
      <c r="D459" s="134" t="s">
        <v>1112</v>
      </c>
      <c r="E459" s="134" t="s">
        <v>427</v>
      </c>
      <c r="F459" s="134" t="s">
        <v>1113</v>
      </c>
      <c r="G459" s="136">
        <v>197.08</v>
      </c>
      <c r="H459" s="136">
        <v>0</v>
      </c>
      <c r="I459" s="136">
        <v>9001.52</v>
      </c>
      <c r="J459" s="134" t="s">
        <v>359</v>
      </c>
    </row>
    <row r="460" spans="1:10" x14ac:dyDescent="0.25">
      <c r="A460" s="131"/>
      <c r="B460" s="131"/>
      <c r="C460" s="137">
        <v>43739</v>
      </c>
      <c r="D460" s="134" t="s">
        <v>1114</v>
      </c>
      <c r="E460" s="134" t="s">
        <v>427</v>
      </c>
      <c r="F460" s="134" t="s">
        <v>1115</v>
      </c>
      <c r="G460" s="136">
        <v>197.08</v>
      </c>
      <c r="H460" s="136">
        <v>0</v>
      </c>
      <c r="I460" s="136">
        <v>9198.6</v>
      </c>
      <c r="J460" s="134" t="s">
        <v>359</v>
      </c>
    </row>
    <row r="461" spans="1:10" x14ac:dyDescent="0.25">
      <c r="A461" s="131"/>
      <c r="B461" s="131"/>
      <c r="C461" s="137">
        <v>43739</v>
      </c>
      <c r="D461" s="134" t="s">
        <v>1116</v>
      </c>
      <c r="E461" s="134" t="s">
        <v>427</v>
      </c>
      <c r="F461" s="134" t="s">
        <v>1117</v>
      </c>
      <c r="G461" s="136">
        <v>197.08</v>
      </c>
      <c r="H461" s="136">
        <v>0</v>
      </c>
      <c r="I461" s="136">
        <v>9395.68</v>
      </c>
      <c r="J461" s="134" t="s">
        <v>359</v>
      </c>
    </row>
    <row r="462" spans="1:10" x14ac:dyDescent="0.25">
      <c r="A462" s="131"/>
      <c r="B462" s="131"/>
      <c r="C462" s="137">
        <v>43739</v>
      </c>
      <c r="D462" s="134" t="s">
        <v>1118</v>
      </c>
      <c r="E462" s="134" t="s">
        <v>427</v>
      </c>
      <c r="F462" s="134" t="s">
        <v>1119</v>
      </c>
      <c r="G462" s="136">
        <v>197.08</v>
      </c>
      <c r="H462" s="136">
        <v>0</v>
      </c>
      <c r="I462" s="136">
        <v>9592.76</v>
      </c>
      <c r="J462" s="134" t="s">
        <v>359</v>
      </c>
    </row>
    <row r="463" spans="1:10" x14ac:dyDescent="0.25">
      <c r="A463" s="131"/>
      <c r="B463" s="131"/>
      <c r="C463" s="137">
        <v>43739</v>
      </c>
      <c r="D463" s="134" t="s">
        <v>1120</v>
      </c>
      <c r="E463" s="134" t="s">
        <v>427</v>
      </c>
      <c r="F463" s="134" t="s">
        <v>1121</v>
      </c>
      <c r="G463" s="136">
        <v>197.08</v>
      </c>
      <c r="H463" s="136">
        <v>0</v>
      </c>
      <c r="I463" s="136">
        <v>9789.84</v>
      </c>
      <c r="J463" s="134" t="s">
        <v>359</v>
      </c>
    </row>
    <row r="464" spans="1:10" x14ac:dyDescent="0.25">
      <c r="A464" s="131"/>
      <c r="B464" s="131"/>
      <c r="C464" s="137">
        <v>43739</v>
      </c>
      <c r="D464" s="134" t="s">
        <v>1122</v>
      </c>
      <c r="E464" s="134" t="s">
        <v>427</v>
      </c>
      <c r="F464" s="134" t="s">
        <v>1123</v>
      </c>
      <c r="G464" s="136">
        <v>252.08</v>
      </c>
      <c r="H464" s="136">
        <v>0</v>
      </c>
      <c r="I464" s="136">
        <v>10041.92</v>
      </c>
      <c r="J464" s="134" t="s">
        <v>359</v>
      </c>
    </row>
    <row r="465" spans="1:10" x14ac:dyDescent="0.25">
      <c r="A465" s="131"/>
      <c r="B465" s="131"/>
      <c r="C465" s="137">
        <v>43770</v>
      </c>
      <c r="D465" s="134" t="s">
        <v>1124</v>
      </c>
      <c r="E465" s="134" t="s">
        <v>924</v>
      </c>
      <c r="F465" s="134" t="s">
        <v>1125</v>
      </c>
      <c r="G465" s="136">
        <v>197.08</v>
      </c>
      <c r="H465" s="136">
        <v>0</v>
      </c>
      <c r="I465" s="136">
        <v>10239</v>
      </c>
      <c r="J465" s="134" t="s">
        <v>359</v>
      </c>
    </row>
    <row r="466" spans="1:10" x14ac:dyDescent="0.25">
      <c r="A466" s="131"/>
      <c r="B466" s="131"/>
      <c r="C466" s="137">
        <v>43770</v>
      </c>
      <c r="D466" s="134" t="s">
        <v>1126</v>
      </c>
      <c r="E466" s="134" t="s">
        <v>924</v>
      </c>
      <c r="F466" s="134" t="s">
        <v>1127</v>
      </c>
      <c r="G466" s="136">
        <v>197.08</v>
      </c>
      <c r="H466" s="136">
        <v>0</v>
      </c>
      <c r="I466" s="136">
        <v>10436.08</v>
      </c>
      <c r="J466" s="134" t="s">
        <v>359</v>
      </c>
    </row>
    <row r="467" spans="1:10" x14ac:dyDescent="0.25">
      <c r="A467" s="131"/>
      <c r="B467" s="131"/>
      <c r="C467" s="137">
        <v>43770</v>
      </c>
      <c r="D467" s="134" t="s">
        <v>1128</v>
      </c>
      <c r="E467" s="134" t="s">
        <v>924</v>
      </c>
      <c r="F467" s="134" t="s">
        <v>1129</v>
      </c>
      <c r="G467" s="136">
        <v>197.08</v>
      </c>
      <c r="H467" s="136">
        <v>0</v>
      </c>
      <c r="I467" s="136">
        <v>10633.16</v>
      </c>
      <c r="J467" s="134" t="s">
        <v>359</v>
      </c>
    </row>
    <row r="468" spans="1:10" x14ac:dyDescent="0.25">
      <c r="A468" s="131"/>
      <c r="B468" s="131"/>
      <c r="C468" s="137">
        <v>43770</v>
      </c>
      <c r="D468" s="134" t="s">
        <v>1130</v>
      </c>
      <c r="E468" s="134" t="s">
        <v>924</v>
      </c>
      <c r="F468" s="134" t="s">
        <v>1131</v>
      </c>
      <c r="G468" s="136">
        <v>197.08</v>
      </c>
      <c r="H468" s="136">
        <v>0</v>
      </c>
      <c r="I468" s="136">
        <v>10830.24</v>
      </c>
      <c r="J468" s="134" t="s">
        <v>359</v>
      </c>
    </row>
    <row r="469" spans="1:10" x14ac:dyDescent="0.25">
      <c r="A469" s="131"/>
      <c r="B469" s="131"/>
      <c r="C469" s="137">
        <v>43770</v>
      </c>
      <c r="D469" s="134" t="s">
        <v>1132</v>
      </c>
      <c r="E469" s="134" t="s">
        <v>924</v>
      </c>
      <c r="F469" s="134" t="s">
        <v>1133</v>
      </c>
      <c r="G469" s="136">
        <v>197.08</v>
      </c>
      <c r="H469" s="136">
        <v>0</v>
      </c>
      <c r="I469" s="136">
        <v>11027.32</v>
      </c>
      <c r="J469" s="134" t="s">
        <v>359</v>
      </c>
    </row>
    <row r="470" spans="1:10" x14ac:dyDescent="0.25">
      <c r="A470" s="131"/>
      <c r="B470" s="131"/>
      <c r="C470" s="137">
        <v>43770</v>
      </c>
      <c r="D470" s="134" t="s">
        <v>1134</v>
      </c>
      <c r="E470" s="134" t="s">
        <v>924</v>
      </c>
      <c r="F470" s="134" t="s">
        <v>1135</v>
      </c>
      <c r="G470" s="136">
        <v>197.08</v>
      </c>
      <c r="H470" s="136">
        <v>0</v>
      </c>
      <c r="I470" s="136">
        <v>11224.4</v>
      </c>
      <c r="J470" s="134" t="s">
        <v>359</v>
      </c>
    </row>
    <row r="471" spans="1:10" x14ac:dyDescent="0.25">
      <c r="A471" s="131"/>
      <c r="B471" s="131"/>
      <c r="C471" s="137">
        <v>43770</v>
      </c>
      <c r="D471" s="134" t="s">
        <v>1136</v>
      </c>
      <c r="E471" s="134" t="s">
        <v>924</v>
      </c>
      <c r="F471" s="134" t="s">
        <v>1137</v>
      </c>
      <c r="G471" s="136">
        <v>252.08</v>
      </c>
      <c r="H471" s="136">
        <v>0</v>
      </c>
      <c r="I471" s="136">
        <v>11476.48</v>
      </c>
      <c r="J471" s="134" t="s">
        <v>359</v>
      </c>
    </row>
    <row r="472" spans="1:10" x14ac:dyDescent="0.25">
      <c r="A472" s="131"/>
      <c r="B472" s="131"/>
      <c r="C472" s="137">
        <v>43800</v>
      </c>
      <c r="D472" s="134" t="s">
        <v>1138</v>
      </c>
      <c r="E472" s="134" t="s">
        <v>439</v>
      </c>
      <c r="F472" s="134" t="s">
        <v>1139</v>
      </c>
      <c r="G472" s="136">
        <v>197.08</v>
      </c>
      <c r="H472" s="136">
        <v>0</v>
      </c>
      <c r="I472" s="136">
        <v>11673.56</v>
      </c>
      <c r="J472" s="134" t="s">
        <v>359</v>
      </c>
    </row>
    <row r="473" spans="1:10" x14ac:dyDescent="0.25">
      <c r="A473" s="131"/>
      <c r="B473" s="131"/>
      <c r="C473" s="137">
        <v>43800</v>
      </c>
      <c r="D473" s="134" t="s">
        <v>1140</v>
      </c>
      <c r="E473" s="134" t="s">
        <v>439</v>
      </c>
      <c r="F473" s="134" t="s">
        <v>1141</v>
      </c>
      <c r="G473" s="136">
        <v>197.08</v>
      </c>
      <c r="H473" s="136">
        <v>0</v>
      </c>
      <c r="I473" s="136">
        <v>11870.64</v>
      </c>
      <c r="J473" s="134" t="s">
        <v>359</v>
      </c>
    </row>
    <row r="474" spans="1:10" x14ac:dyDescent="0.25">
      <c r="A474" s="131"/>
      <c r="B474" s="131"/>
      <c r="C474" s="137">
        <v>43800</v>
      </c>
      <c r="D474" s="134" t="s">
        <v>1142</v>
      </c>
      <c r="E474" s="134" t="s">
        <v>439</v>
      </c>
      <c r="F474" s="134" t="s">
        <v>1143</v>
      </c>
      <c r="G474" s="136">
        <v>197.08</v>
      </c>
      <c r="H474" s="136">
        <v>0</v>
      </c>
      <c r="I474" s="136">
        <v>12067.72</v>
      </c>
      <c r="J474" s="134" t="s">
        <v>359</v>
      </c>
    </row>
    <row r="475" spans="1:10" x14ac:dyDescent="0.25">
      <c r="A475" s="131"/>
      <c r="B475" s="131"/>
      <c r="C475" s="137">
        <v>43800</v>
      </c>
      <c r="D475" s="134" t="s">
        <v>1144</v>
      </c>
      <c r="E475" s="134" t="s">
        <v>439</v>
      </c>
      <c r="F475" s="134" t="s">
        <v>1145</v>
      </c>
      <c r="G475" s="136">
        <v>197.08</v>
      </c>
      <c r="H475" s="136">
        <v>0</v>
      </c>
      <c r="I475" s="136">
        <v>12264.8</v>
      </c>
      <c r="J475" s="134" t="s">
        <v>359</v>
      </c>
    </row>
    <row r="476" spans="1:10" x14ac:dyDescent="0.25">
      <c r="A476" s="131"/>
      <c r="B476" s="131"/>
      <c r="C476" s="137">
        <v>43800</v>
      </c>
      <c r="D476" s="134" t="s">
        <v>1146</v>
      </c>
      <c r="E476" s="134" t="s">
        <v>439</v>
      </c>
      <c r="F476" s="134" t="s">
        <v>1147</v>
      </c>
      <c r="G476" s="136">
        <v>197.08</v>
      </c>
      <c r="H476" s="136">
        <v>0</v>
      </c>
      <c r="I476" s="136">
        <v>12461.88</v>
      </c>
      <c r="J476" s="134" t="s">
        <v>359</v>
      </c>
    </row>
    <row r="477" spans="1:10" x14ac:dyDescent="0.25">
      <c r="A477" s="131"/>
      <c r="B477" s="131"/>
      <c r="C477" s="137">
        <v>43800</v>
      </c>
      <c r="D477" s="134" t="s">
        <v>1148</v>
      </c>
      <c r="E477" s="134" t="s">
        <v>439</v>
      </c>
      <c r="F477" s="134" t="s">
        <v>1149</v>
      </c>
      <c r="G477" s="136">
        <v>197.08</v>
      </c>
      <c r="H477" s="136">
        <v>0</v>
      </c>
      <c r="I477" s="136">
        <v>12658.96</v>
      </c>
      <c r="J477" s="134" t="s">
        <v>359</v>
      </c>
    </row>
    <row r="478" spans="1:10" x14ac:dyDescent="0.25">
      <c r="A478" s="131"/>
      <c r="B478" s="131"/>
      <c r="C478" s="137">
        <v>43800</v>
      </c>
      <c r="D478" s="134" t="s">
        <v>1150</v>
      </c>
      <c r="E478" s="134" t="s">
        <v>439</v>
      </c>
      <c r="F478" s="134" t="s">
        <v>1151</v>
      </c>
      <c r="G478" s="136">
        <v>252.08</v>
      </c>
      <c r="H478" s="136">
        <v>0</v>
      </c>
      <c r="I478" s="136">
        <v>12911.04</v>
      </c>
      <c r="J478" s="134" t="s">
        <v>359</v>
      </c>
    </row>
    <row r="479" spans="1:10" x14ac:dyDescent="0.25">
      <c r="A479" s="131"/>
      <c r="B479" s="131"/>
      <c r="C479" s="137">
        <v>43831</v>
      </c>
      <c r="D479" s="134" t="s">
        <v>1152</v>
      </c>
      <c r="E479" s="134" t="s">
        <v>1153</v>
      </c>
      <c r="F479" s="134" t="s">
        <v>1154</v>
      </c>
      <c r="G479" s="136">
        <v>252.08</v>
      </c>
      <c r="H479" s="136">
        <v>0</v>
      </c>
      <c r="I479" s="136">
        <v>13163.12</v>
      </c>
      <c r="J479" s="134" t="s">
        <v>359</v>
      </c>
    </row>
    <row r="480" spans="1:10" x14ac:dyDescent="0.25">
      <c r="A480" s="131"/>
      <c r="B480" s="131"/>
      <c r="C480" s="137">
        <v>43831</v>
      </c>
      <c r="D480" s="134" t="s">
        <v>1155</v>
      </c>
      <c r="E480" s="134" t="s">
        <v>1156</v>
      </c>
      <c r="F480" s="134" t="s">
        <v>1157</v>
      </c>
      <c r="G480" s="136">
        <v>197.08</v>
      </c>
      <c r="H480" s="136">
        <v>0</v>
      </c>
      <c r="I480" s="136">
        <v>13360.2</v>
      </c>
      <c r="J480" s="134" t="s">
        <v>359</v>
      </c>
    </row>
    <row r="481" spans="1:10" x14ac:dyDescent="0.25">
      <c r="A481" s="131"/>
      <c r="B481" s="131"/>
      <c r="C481" s="137">
        <v>43831</v>
      </c>
      <c r="D481" s="134" t="s">
        <v>1158</v>
      </c>
      <c r="E481" s="134" t="s">
        <v>1153</v>
      </c>
      <c r="F481" s="134" t="s">
        <v>1159</v>
      </c>
      <c r="G481" s="136">
        <v>197.08</v>
      </c>
      <c r="H481" s="136">
        <v>0</v>
      </c>
      <c r="I481" s="136">
        <v>13557.28</v>
      </c>
      <c r="J481" s="134" t="s">
        <v>359</v>
      </c>
    </row>
    <row r="482" spans="1:10" x14ac:dyDescent="0.25">
      <c r="A482" s="131"/>
      <c r="B482" s="131"/>
      <c r="C482" s="137">
        <v>43831</v>
      </c>
      <c r="D482" s="134" t="s">
        <v>1160</v>
      </c>
      <c r="E482" s="134" t="s">
        <v>1161</v>
      </c>
      <c r="F482" s="134" t="s">
        <v>1162</v>
      </c>
      <c r="G482" s="136">
        <v>197.08</v>
      </c>
      <c r="H482" s="136">
        <v>0</v>
      </c>
      <c r="I482" s="136">
        <v>13754.36</v>
      </c>
      <c r="J482" s="134" t="s">
        <v>359</v>
      </c>
    </row>
    <row r="483" spans="1:10" x14ac:dyDescent="0.25">
      <c r="A483" s="131"/>
      <c r="B483" s="131"/>
      <c r="C483" s="137">
        <v>43831</v>
      </c>
      <c r="D483" s="134" t="s">
        <v>1163</v>
      </c>
      <c r="E483" s="134" t="s">
        <v>1153</v>
      </c>
      <c r="F483" s="134" t="s">
        <v>1164</v>
      </c>
      <c r="G483" s="136">
        <v>197.08</v>
      </c>
      <c r="H483" s="136">
        <v>0</v>
      </c>
      <c r="I483" s="136">
        <v>13951.44</v>
      </c>
      <c r="J483" s="134" t="s">
        <v>359</v>
      </c>
    </row>
    <row r="484" spans="1:10" x14ac:dyDescent="0.25">
      <c r="A484" s="131"/>
      <c r="B484" s="131"/>
      <c r="C484" s="137">
        <v>43831</v>
      </c>
      <c r="D484" s="134" t="s">
        <v>1165</v>
      </c>
      <c r="E484" s="134" t="s">
        <v>1153</v>
      </c>
      <c r="F484" s="134" t="s">
        <v>1166</v>
      </c>
      <c r="G484" s="136">
        <v>197.08</v>
      </c>
      <c r="H484" s="136">
        <v>0</v>
      </c>
      <c r="I484" s="136">
        <v>14148.52</v>
      </c>
      <c r="J484" s="134" t="s">
        <v>359</v>
      </c>
    </row>
    <row r="485" spans="1:10" x14ac:dyDescent="0.25">
      <c r="A485" s="131"/>
      <c r="B485" s="131"/>
      <c r="C485" s="137">
        <v>43831</v>
      </c>
      <c r="D485" s="134" t="s">
        <v>1167</v>
      </c>
      <c r="E485" s="134" t="s">
        <v>1153</v>
      </c>
      <c r="F485" s="134" t="s">
        <v>1168</v>
      </c>
      <c r="G485" s="136">
        <v>197.08</v>
      </c>
      <c r="H485" s="136">
        <v>0</v>
      </c>
      <c r="I485" s="136">
        <v>14345.6</v>
      </c>
      <c r="J485" s="134" t="s">
        <v>359</v>
      </c>
    </row>
    <row r="486" spans="1:10" x14ac:dyDescent="0.25">
      <c r="A486" s="131"/>
      <c r="B486" s="131"/>
      <c r="C486" s="137">
        <v>43862</v>
      </c>
      <c r="D486" s="134" t="s">
        <v>1169</v>
      </c>
      <c r="E486" s="134" t="s">
        <v>934</v>
      </c>
      <c r="F486" s="134" t="s">
        <v>1170</v>
      </c>
      <c r="G486" s="136">
        <v>197.08</v>
      </c>
      <c r="H486" s="136">
        <v>0</v>
      </c>
      <c r="I486" s="136">
        <v>14542.68</v>
      </c>
      <c r="J486" s="134" t="s">
        <v>359</v>
      </c>
    </row>
    <row r="487" spans="1:10" x14ac:dyDescent="0.25">
      <c r="A487" s="131"/>
      <c r="B487" s="131"/>
      <c r="C487" s="137">
        <v>43862</v>
      </c>
      <c r="D487" s="134" t="s">
        <v>1171</v>
      </c>
      <c r="E487" s="134" t="s">
        <v>934</v>
      </c>
      <c r="F487" s="134" t="s">
        <v>1172</v>
      </c>
      <c r="G487" s="136">
        <v>197.08</v>
      </c>
      <c r="H487" s="136">
        <v>0</v>
      </c>
      <c r="I487" s="136">
        <v>14739.76</v>
      </c>
      <c r="J487" s="134" t="s">
        <v>359</v>
      </c>
    </row>
    <row r="488" spans="1:10" x14ac:dyDescent="0.25">
      <c r="A488" s="131"/>
      <c r="B488" s="131"/>
      <c r="C488" s="137">
        <v>43862</v>
      </c>
      <c r="D488" s="134" t="s">
        <v>1173</v>
      </c>
      <c r="E488" s="134" t="s">
        <v>934</v>
      </c>
      <c r="F488" s="134" t="s">
        <v>1174</v>
      </c>
      <c r="G488" s="136">
        <v>197.08</v>
      </c>
      <c r="H488" s="136">
        <v>0</v>
      </c>
      <c r="I488" s="136">
        <v>14936.84</v>
      </c>
      <c r="J488" s="134" t="s">
        <v>359</v>
      </c>
    </row>
    <row r="489" spans="1:10" x14ac:dyDescent="0.25">
      <c r="A489" s="131"/>
      <c r="B489" s="131"/>
      <c r="C489" s="137">
        <v>43862</v>
      </c>
      <c r="D489" s="134" t="s">
        <v>1175</v>
      </c>
      <c r="E489" s="134" t="s">
        <v>934</v>
      </c>
      <c r="F489" s="134" t="s">
        <v>1176</v>
      </c>
      <c r="G489" s="136">
        <v>197.08</v>
      </c>
      <c r="H489" s="136">
        <v>0</v>
      </c>
      <c r="I489" s="136">
        <v>15133.92</v>
      </c>
      <c r="J489" s="134" t="s">
        <v>359</v>
      </c>
    </row>
    <row r="490" spans="1:10" x14ac:dyDescent="0.25">
      <c r="A490" s="131"/>
      <c r="B490" s="131"/>
      <c r="C490" s="137">
        <v>43862</v>
      </c>
      <c r="D490" s="134" t="s">
        <v>1177</v>
      </c>
      <c r="E490" s="134" t="s">
        <v>934</v>
      </c>
      <c r="F490" s="134" t="s">
        <v>1178</v>
      </c>
      <c r="G490" s="136">
        <v>197.08</v>
      </c>
      <c r="H490" s="136">
        <v>0</v>
      </c>
      <c r="I490" s="136">
        <v>15331</v>
      </c>
      <c r="J490" s="134" t="s">
        <v>359</v>
      </c>
    </row>
    <row r="491" spans="1:10" x14ac:dyDescent="0.25">
      <c r="A491" s="131"/>
      <c r="B491" s="131"/>
      <c r="C491" s="137">
        <v>43862</v>
      </c>
      <c r="D491" s="134" t="s">
        <v>1179</v>
      </c>
      <c r="E491" s="134" t="s">
        <v>934</v>
      </c>
      <c r="F491" s="134" t="s">
        <v>1180</v>
      </c>
      <c r="G491" s="136">
        <v>252.08</v>
      </c>
      <c r="H491" s="136">
        <v>0</v>
      </c>
      <c r="I491" s="136">
        <v>15583.08</v>
      </c>
      <c r="J491" s="134" t="s">
        <v>359</v>
      </c>
    </row>
    <row r="492" spans="1:10" x14ac:dyDescent="0.25">
      <c r="A492" s="131"/>
      <c r="B492" s="131"/>
      <c r="C492" s="137">
        <v>43891</v>
      </c>
      <c r="D492" s="134" t="s">
        <v>1181</v>
      </c>
      <c r="E492" s="134" t="s">
        <v>452</v>
      </c>
      <c r="F492" s="134" t="s">
        <v>1182</v>
      </c>
      <c r="G492" s="136">
        <v>197.08</v>
      </c>
      <c r="H492" s="136">
        <v>0</v>
      </c>
      <c r="I492" s="136">
        <v>15780.16</v>
      </c>
      <c r="J492" s="134" t="s">
        <v>359</v>
      </c>
    </row>
    <row r="493" spans="1:10" x14ac:dyDescent="0.25">
      <c r="A493" s="131"/>
      <c r="B493" s="131"/>
      <c r="C493" s="137">
        <v>43891</v>
      </c>
      <c r="D493" s="134" t="s">
        <v>1183</v>
      </c>
      <c r="E493" s="134" t="s">
        <v>452</v>
      </c>
      <c r="F493" s="134" t="s">
        <v>1184</v>
      </c>
      <c r="G493" s="136">
        <v>197.08</v>
      </c>
      <c r="H493" s="136">
        <v>0</v>
      </c>
      <c r="I493" s="136">
        <v>15977.24</v>
      </c>
      <c r="J493" s="134" t="s">
        <v>359</v>
      </c>
    </row>
    <row r="494" spans="1:10" x14ac:dyDescent="0.25">
      <c r="A494" s="131"/>
      <c r="B494" s="131"/>
      <c r="C494" s="137">
        <v>43891</v>
      </c>
      <c r="D494" s="134" t="s">
        <v>1185</v>
      </c>
      <c r="E494" s="134" t="s">
        <v>452</v>
      </c>
      <c r="F494" s="134" t="s">
        <v>1186</v>
      </c>
      <c r="G494" s="136">
        <v>197.08</v>
      </c>
      <c r="H494" s="136">
        <v>0</v>
      </c>
      <c r="I494" s="136">
        <v>16174.32</v>
      </c>
      <c r="J494" s="134" t="s">
        <v>359</v>
      </c>
    </row>
    <row r="495" spans="1:10" x14ac:dyDescent="0.25">
      <c r="A495" s="131"/>
      <c r="B495" s="131"/>
      <c r="C495" s="137">
        <v>43891</v>
      </c>
      <c r="D495" s="134" t="s">
        <v>1187</v>
      </c>
      <c r="E495" s="134" t="s">
        <v>1188</v>
      </c>
      <c r="F495" s="134" t="s">
        <v>1189</v>
      </c>
      <c r="G495" s="136">
        <v>197.08</v>
      </c>
      <c r="H495" s="136">
        <v>0</v>
      </c>
      <c r="I495" s="136">
        <v>16371.4</v>
      </c>
      <c r="J495" s="134" t="s">
        <v>359</v>
      </c>
    </row>
    <row r="496" spans="1:10" x14ac:dyDescent="0.25">
      <c r="A496" s="131"/>
      <c r="B496" s="131"/>
      <c r="C496" s="137">
        <v>43891</v>
      </c>
      <c r="D496" s="134" t="s">
        <v>1190</v>
      </c>
      <c r="E496" s="134" t="s">
        <v>452</v>
      </c>
      <c r="F496" s="134" t="s">
        <v>1191</v>
      </c>
      <c r="G496" s="136">
        <v>197.08</v>
      </c>
      <c r="H496" s="136">
        <v>0</v>
      </c>
      <c r="I496" s="136">
        <v>16568.48</v>
      </c>
      <c r="J496" s="134" t="s">
        <v>359</v>
      </c>
    </row>
    <row r="497" spans="1:10" x14ac:dyDescent="0.25">
      <c r="A497" s="131"/>
      <c r="B497" s="131"/>
      <c r="C497" s="137">
        <v>43891</v>
      </c>
      <c r="D497" s="134" t="s">
        <v>1192</v>
      </c>
      <c r="E497" s="134" t="s">
        <v>452</v>
      </c>
      <c r="F497" s="134" t="s">
        <v>1193</v>
      </c>
      <c r="G497" s="138">
        <v>252.08</v>
      </c>
      <c r="H497" s="138">
        <v>0</v>
      </c>
      <c r="I497" s="136">
        <v>16820.560000000001</v>
      </c>
      <c r="J497" s="134" t="s">
        <v>359</v>
      </c>
    </row>
    <row r="498" spans="1:10" x14ac:dyDescent="0.25">
      <c r="A498" s="131"/>
      <c r="B498" s="131"/>
      <c r="C498" s="131"/>
      <c r="D498" s="131"/>
      <c r="E498" s="131"/>
      <c r="F498" s="131"/>
      <c r="G498" s="136">
        <f>SUBTOTAL(9,G423:G497)</f>
        <v>15385.999999999996</v>
      </c>
      <c r="H498" s="136">
        <f>SUBTOTAL(9,H423:H497)</f>
        <v>0</v>
      </c>
    </row>
    <row r="500" spans="1:10" x14ac:dyDescent="0.25">
      <c r="A500" s="130" t="s">
        <v>1194</v>
      </c>
      <c r="B500" s="130" t="s">
        <v>1195</v>
      </c>
      <c r="C500" s="135"/>
      <c r="D500" s="134" t="s">
        <v>1223</v>
      </c>
      <c r="E500" s="134" t="s">
        <v>420</v>
      </c>
      <c r="F500" s="134" t="s">
        <v>1224</v>
      </c>
      <c r="G500" s="136">
        <v>1143.04</v>
      </c>
      <c r="H500" s="135"/>
      <c r="I500" s="136">
        <v>0</v>
      </c>
      <c r="J500" s="134" t="s">
        <v>359</v>
      </c>
    </row>
    <row r="501" spans="1:10" x14ac:dyDescent="0.25">
      <c r="D501" s="134" t="s">
        <v>1225</v>
      </c>
      <c r="E501" s="134" t="s">
        <v>420</v>
      </c>
      <c r="F501" s="134" t="s">
        <v>1226</v>
      </c>
      <c r="G501" s="136">
        <v>1808.09</v>
      </c>
    </row>
    <row r="502" spans="1:10" x14ac:dyDescent="0.25">
      <c r="A502" s="130" t="s">
        <v>1196</v>
      </c>
      <c r="B502" s="130" t="s">
        <v>1197</v>
      </c>
      <c r="C502" s="135"/>
      <c r="D502" s="134" t="s">
        <v>1227</v>
      </c>
      <c r="E502" s="134" t="s">
        <v>365</v>
      </c>
      <c r="F502" s="134" t="s">
        <v>1228</v>
      </c>
      <c r="G502" s="136">
        <v>403.9</v>
      </c>
      <c r="H502" s="135"/>
      <c r="I502" s="136">
        <v>0</v>
      </c>
      <c r="J502" s="134" t="s">
        <v>359</v>
      </c>
    </row>
    <row r="503" spans="1:10" x14ac:dyDescent="0.25">
      <c r="G503" s="140">
        <f>SUM(G500:G502)</f>
        <v>3355.03</v>
      </c>
    </row>
    <row r="504" spans="1:10" x14ac:dyDescent="0.25">
      <c r="A504" s="130" t="s">
        <v>1198</v>
      </c>
      <c r="B504" s="130" t="s">
        <v>1199</v>
      </c>
      <c r="C504" s="135"/>
      <c r="D504" s="135"/>
      <c r="E504" s="135"/>
      <c r="F504" s="135"/>
      <c r="G504" s="135"/>
      <c r="H504" s="135"/>
      <c r="I504" s="136">
        <v>0</v>
      </c>
      <c r="J504" s="134" t="s">
        <v>359</v>
      </c>
    </row>
    <row r="506" spans="1:10" x14ac:dyDescent="0.25">
      <c r="A506" s="130" t="s">
        <v>1200</v>
      </c>
      <c r="B506" s="130" t="s">
        <v>108</v>
      </c>
      <c r="C506" s="135"/>
      <c r="D506" s="135"/>
      <c r="E506" s="135"/>
      <c r="F506" s="135"/>
      <c r="G506" s="135"/>
      <c r="H506" s="135"/>
      <c r="I506" s="136">
        <v>1464.59</v>
      </c>
      <c r="J506" s="134" t="s">
        <v>359</v>
      </c>
    </row>
    <row r="507" spans="1:10" x14ac:dyDescent="0.25">
      <c r="A507" s="131"/>
      <c r="B507" s="131"/>
      <c r="C507" s="137">
        <v>43770</v>
      </c>
      <c r="D507" s="134" t="s">
        <v>1201</v>
      </c>
      <c r="E507" s="134" t="s">
        <v>475</v>
      </c>
      <c r="F507" s="134" t="s">
        <v>1202</v>
      </c>
      <c r="G507" s="136">
        <v>368.39</v>
      </c>
      <c r="H507" s="136">
        <v>0</v>
      </c>
      <c r="I507" s="136">
        <v>1832.98</v>
      </c>
      <c r="J507" s="134" t="s">
        <v>359</v>
      </c>
    </row>
    <row r="509" spans="1:10" x14ac:dyDescent="0.25">
      <c r="A509" s="130" t="s">
        <v>1203</v>
      </c>
      <c r="B509" s="130" t="s">
        <v>1204</v>
      </c>
      <c r="C509" s="135"/>
      <c r="D509" s="135"/>
      <c r="E509" s="135"/>
      <c r="F509" s="135"/>
      <c r="G509" s="135"/>
      <c r="H509" s="135"/>
      <c r="I509" s="136">
        <v>0</v>
      </c>
      <c r="J509" s="134" t="s">
        <v>359</v>
      </c>
    </row>
    <row r="510" spans="1:10" x14ac:dyDescent="0.25">
      <c r="A510" s="131"/>
      <c r="B510" s="131"/>
      <c r="C510" s="137">
        <v>43608</v>
      </c>
      <c r="D510" s="134" t="s">
        <v>1205</v>
      </c>
      <c r="E510" s="134" t="s">
        <v>1206</v>
      </c>
      <c r="F510" s="134" t="s">
        <v>1207</v>
      </c>
      <c r="G510" s="136">
        <v>50</v>
      </c>
      <c r="H510" s="136">
        <v>0</v>
      </c>
      <c r="I510" s="136">
        <v>50</v>
      </c>
      <c r="J510" s="134" t="s">
        <v>359</v>
      </c>
    </row>
    <row r="511" spans="1:10" x14ac:dyDescent="0.25">
      <c r="A511" s="131"/>
      <c r="B511" s="131"/>
      <c r="C511" s="137">
        <v>43626</v>
      </c>
      <c r="D511" s="134" t="s">
        <v>1208</v>
      </c>
      <c r="E511" s="134" t="s">
        <v>1209</v>
      </c>
      <c r="F511" s="134" t="s">
        <v>1210</v>
      </c>
      <c r="G511" s="136">
        <v>49.5</v>
      </c>
      <c r="H511" s="136">
        <v>0</v>
      </c>
      <c r="I511" s="136">
        <v>99.5</v>
      </c>
      <c r="J511" s="134" t="s">
        <v>359</v>
      </c>
    </row>
    <row r="512" spans="1:10" x14ac:dyDescent="0.25">
      <c r="A512" s="131"/>
      <c r="B512" s="131"/>
      <c r="C512" s="137">
        <v>43794</v>
      </c>
      <c r="D512" s="134" t="s">
        <v>1211</v>
      </c>
      <c r="E512" s="134" t="s">
        <v>1212</v>
      </c>
      <c r="F512" s="134" t="s">
        <v>1213</v>
      </c>
      <c r="G512" s="136">
        <v>125</v>
      </c>
      <c r="H512" s="136">
        <v>0</v>
      </c>
      <c r="I512" s="136">
        <v>224.5</v>
      </c>
      <c r="J512" s="134" t="s">
        <v>359</v>
      </c>
    </row>
    <row r="513" spans="1:10" x14ac:dyDescent="0.25">
      <c r="A513" s="131"/>
      <c r="B513" s="131"/>
      <c r="C513" s="137">
        <v>43804</v>
      </c>
      <c r="D513" s="134" t="s">
        <v>1214</v>
      </c>
      <c r="E513" s="134" t="s">
        <v>1212</v>
      </c>
      <c r="F513" s="134" t="s">
        <v>1215</v>
      </c>
      <c r="G513" s="138">
        <v>401.61</v>
      </c>
      <c r="H513" s="138">
        <v>0</v>
      </c>
      <c r="I513" s="136">
        <v>626.11</v>
      </c>
      <c r="J513" s="134" t="s">
        <v>359</v>
      </c>
    </row>
    <row r="514" spans="1:10" x14ac:dyDescent="0.25">
      <c r="A514" s="131"/>
      <c r="B514" s="131"/>
      <c r="C514" s="131"/>
      <c r="D514" s="131"/>
      <c r="E514" s="131"/>
      <c r="F514" s="131"/>
      <c r="G514" s="136">
        <f>SUBTOTAL(9,G510:G513)</f>
        <v>626.11</v>
      </c>
      <c r="H514" s="136">
        <f>SUBTOTAL(9,H510:H513)</f>
        <v>0</v>
      </c>
    </row>
    <row r="516" spans="1:10" x14ac:dyDescent="0.25">
      <c r="A516" s="130" t="s">
        <v>1216</v>
      </c>
      <c r="B516" s="130" t="s">
        <v>1217</v>
      </c>
      <c r="C516" s="135"/>
      <c r="D516" s="135"/>
      <c r="E516" s="135"/>
      <c r="F516" s="135"/>
      <c r="G516" s="135"/>
      <c r="H516" s="135"/>
      <c r="I516" s="136">
        <v>0</v>
      </c>
      <c r="J516" s="134" t="s">
        <v>359</v>
      </c>
    </row>
    <row r="518" spans="1:10" x14ac:dyDescent="0.25">
      <c r="A518" s="130" t="s">
        <v>1218</v>
      </c>
      <c r="B518" s="130" t="s">
        <v>1219</v>
      </c>
      <c r="C518" s="135"/>
      <c r="D518" s="135"/>
      <c r="E518" s="135"/>
      <c r="F518" s="135"/>
      <c r="G518" s="135"/>
      <c r="H518" s="135"/>
      <c r="I518" s="136">
        <v>0</v>
      </c>
      <c r="J518" s="134" t="s">
        <v>359</v>
      </c>
    </row>
    <row r="519" spans="1:10" x14ac:dyDescent="0.25">
      <c r="A519" s="131"/>
      <c r="B519" s="131"/>
      <c r="C519" s="137">
        <v>43567</v>
      </c>
      <c r="D519" s="134" t="s">
        <v>1220</v>
      </c>
      <c r="E519" s="134" t="s">
        <v>1221</v>
      </c>
      <c r="F519" s="134" t="s">
        <v>1222</v>
      </c>
      <c r="G519" s="136">
        <v>43.99</v>
      </c>
      <c r="H519" s="136">
        <v>0</v>
      </c>
      <c r="I519" s="136">
        <v>43.99</v>
      </c>
      <c r="J519" s="134" t="s">
        <v>359</v>
      </c>
    </row>
    <row r="520" spans="1:10" x14ac:dyDescent="0.25">
      <c r="A520" s="131"/>
      <c r="B520" s="131"/>
      <c r="C520" s="137">
        <v>43619</v>
      </c>
      <c r="D520" s="134" t="s">
        <v>1223</v>
      </c>
      <c r="E520" s="134" t="s">
        <v>420</v>
      </c>
      <c r="F520" s="134" t="s">
        <v>1224</v>
      </c>
      <c r="G520" s="136">
        <v>1143.04</v>
      </c>
      <c r="H520" s="136">
        <v>0</v>
      </c>
      <c r="I520" s="136">
        <v>1187.03</v>
      </c>
      <c r="J520" s="134" t="s">
        <v>359</v>
      </c>
    </row>
    <row r="521" spans="1:10" x14ac:dyDescent="0.25">
      <c r="A521" s="131"/>
      <c r="B521" s="131"/>
      <c r="C521" s="137">
        <v>43635</v>
      </c>
      <c r="D521" s="134" t="s">
        <v>1225</v>
      </c>
      <c r="E521" s="134" t="s">
        <v>420</v>
      </c>
      <c r="F521" s="134" t="s">
        <v>1226</v>
      </c>
      <c r="G521" s="136">
        <v>1808.09</v>
      </c>
      <c r="H521" s="136">
        <v>0</v>
      </c>
      <c r="I521" s="136">
        <v>2995.12</v>
      </c>
      <c r="J521" s="134" t="s">
        <v>359</v>
      </c>
    </row>
    <row r="522" spans="1:10" x14ac:dyDescent="0.25">
      <c r="A522" s="131"/>
      <c r="B522" s="131"/>
      <c r="C522" s="137">
        <v>43689</v>
      </c>
      <c r="D522" s="134" t="s">
        <v>1227</v>
      </c>
      <c r="E522" s="134" t="s">
        <v>365</v>
      </c>
      <c r="F522" s="134" t="s">
        <v>1228</v>
      </c>
      <c r="G522" s="136">
        <v>403.9</v>
      </c>
      <c r="H522" s="136">
        <v>0</v>
      </c>
      <c r="I522" s="136">
        <v>3399.02</v>
      </c>
      <c r="J522" s="134" t="s">
        <v>359</v>
      </c>
    </row>
    <row r="523" spans="1:10" x14ac:dyDescent="0.25">
      <c r="A523" s="131"/>
      <c r="B523" s="131"/>
      <c r="C523" s="137">
        <v>43705</v>
      </c>
      <c r="D523" s="134" t="s">
        <v>1229</v>
      </c>
      <c r="E523" s="134" t="s">
        <v>1230</v>
      </c>
      <c r="F523" s="134" t="s">
        <v>1231</v>
      </c>
      <c r="G523" s="136">
        <v>0</v>
      </c>
      <c r="H523" s="136">
        <v>263.2</v>
      </c>
      <c r="I523" s="136">
        <v>3135.82</v>
      </c>
      <c r="J523" s="134" t="s">
        <v>359</v>
      </c>
    </row>
    <row r="524" spans="1:10" x14ac:dyDescent="0.25">
      <c r="A524" s="131"/>
      <c r="B524" s="131"/>
      <c r="C524" s="137">
        <v>43726</v>
      </c>
      <c r="D524" s="134" t="s">
        <v>1232</v>
      </c>
      <c r="E524" s="134" t="s">
        <v>1233</v>
      </c>
      <c r="F524" s="134" t="s">
        <v>1234</v>
      </c>
      <c r="G524" s="136">
        <v>440</v>
      </c>
      <c r="H524" s="136">
        <v>0</v>
      </c>
      <c r="I524" s="136">
        <v>3575.82</v>
      </c>
      <c r="J524" s="134" t="s">
        <v>359</v>
      </c>
    </row>
    <row r="525" spans="1:10" x14ac:dyDescent="0.25">
      <c r="A525" s="131"/>
      <c r="B525" s="131"/>
      <c r="C525" s="137">
        <v>43789</v>
      </c>
      <c r="D525" s="134" t="s">
        <v>1235</v>
      </c>
      <c r="E525" s="134" t="s">
        <v>1236</v>
      </c>
      <c r="F525" s="134" t="s">
        <v>1237</v>
      </c>
      <c r="G525" s="136">
        <v>126.49</v>
      </c>
      <c r="H525" s="136">
        <v>0</v>
      </c>
      <c r="I525" s="136">
        <v>3702.31</v>
      </c>
      <c r="J525" s="134" t="s">
        <v>359</v>
      </c>
    </row>
    <row r="526" spans="1:10" x14ac:dyDescent="0.25">
      <c r="A526" s="131"/>
      <c r="B526" s="131"/>
      <c r="C526" s="137">
        <v>43818</v>
      </c>
      <c r="D526" s="134" t="s">
        <v>1238</v>
      </c>
      <c r="E526" s="134" t="s">
        <v>1239</v>
      </c>
      <c r="F526" s="134" t="s">
        <v>1240</v>
      </c>
      <c r="G526" s="136">
        <v>169.96</v>
      </c>
      <c r="H526" s="136">
        <v>0</v>
      </c>
      <c r="I526" s="136">
        <v>3872.27</v>
      </c>
      <c r="J526" s="134" t="s">
        <v>359</v>
      </c>
    </row>
    <row r="527" spans="1:10" x14ac:dyDescent="0.25">
      <c r="A527" s="131"/>
      <c r="B527" s="131"/>
      <c r="C527" s="137">
        <v>43921</v>
      </c>
      <c r="D527" s="134" t="s">
        <v>1238</v>
      </c>
      <c r="E527" s="134" t="s">
        <v>1241</v>
      </c>
      <c r="F527" s="134" t="s">
        <v>1242</v>
      </c>
      <c r="G527" s="138">
        <v>0</v>
      </c>
      <c r="H527" s="138">
        <v>169.96</v>
      </c>
      <c r="I527" s="136">
        <v>3702.31</v>
      </c>
      <c r="J527" s="134" t="s">
        <v>359</v>
      </c>
    </row>
    <row r="528" spans="1:10" x14ac:dyDescent="0.25">
      <c r="A528" s="131"/>
      <c r="B528" s="131"/>
      <c r="C528" s="131"/>
      <c r="D528" s="131"/>
      <c r="E528" s="131"/>
      <c r="F528" s="131"/>
      <c r="G528" s="136">
        <f>SUBTOTAL(9,G519:G527)</f>
        <v>4135.4699999999993</v>
      </c>
      <c r="H528" s="136">
        <f>SUBTOTAL(9,H519:H527)</f>
        <v>433.15999999999997</v>
      </c>
    </row>
    <row r="530" spans="1:12" x14ac:dyDescent="0.25">
      <c r="A530" s="130" t="s">
        <v>1243</v>
      </c>
      <c r="B530" s="130" t="s">
        <v>42</v>
      </c>
      <c r="C530" s="135"/>
      <c r="D530" s="135"/>
      <c r="E530" s="135"/>
      <c r="F530" s="135"/>
      <c r="G530" s="135"/>
      <c r="H530" s="135"/>
      <c r="I530" s="136">
        <v>0</v>
      </c>
      <c r="J530" s="134" t="s">
        <v>359</v>
      </c>
      <c r="L530" t="s">
        <v>1290</v>
      </c>
    </row>
    <row r="532" spans="1:12" x14ac:dyDescent="0.25">
      <c r="A532" s="130" t="s">
        <v>1244</v>
      </c>
      <c r="B532" s="130" t="s">
        <v>1245</v>
      </c>
      <c r="C532" s="135"/>
      <c r="D532" s="135"/>
      <c r="E532" s="135"/>
      <c r="F532" s="135"/>
      <c r="G532" s="135"/>
      <c r="H532" s="135"/>
      <c r="I532" s="136">
        <v>0</v>
      </c>
      <c r="J532" s="134" t="s">
        <v>359</v>
      </c>
    </row>
    <row r="534" spans="1:12" x14ac:dyDescent="0.25">
      <c r="A534" s="130" t="s">
        <v>1246</v>
      </c>
      <c r="B534" s="130" t="s">
        <v>1247</v>
      </c>
      <c r="C534" s="135"/>
      <c r="D534" s="135"/>
      <c r="E534" s="135"/>
      <c r="F534" s="135"/>
      <c r="G534" s="135"/>
      <c r="H534" s="135"/>
      <c r="I534" s="136">
        <v>0</v>
      </c>
      <c r="J534" s="134" t="s">
        <v>359</v>
      </c>
    </row>
    <row r="535" spans="1:12" x14ac:dyDescent="0.25">
      <c r="A535" s="131"/>
      <c r="B535" s="131"/>
      <c r="C535" s="137">
        <v>43708</v>
      </c>
      <c r="D535" s="134" t="s">
        <v>588</v>
      </c>
      <c r="E535" s="134" t="s">
        <v>589</v>
      </c>
      <c r="F535" s="134" t="s">
        <v>590</v>
      </c>
      <c r="G535" s="136">
        <v>38.5</v>
      </c>
      <c r="H535" s="136">
        <v>0</v>
      </c>
      <c r="I535" s="136">
        <v>38.5</v>
      </c>
      <c r="J535" s="134" t="s">
        <v>359</v>
      </c>
    </row>
    <row r="536" spans="1:12" x14ac:dyDescent="0.25">
      <c r="A536" s="131"/>
      <c r="B536" s="131"/>
      <c r="C536" s="137">
        <v>43769</v>
      </c>
      <c r="D536" s="134" t="s">
        <v>588</v>
      </c>
      <c r="E536" s="134" t="s">
        <v>992</v>
      </c>
      <c r="F536" s="134" t="s">
        <v>993</v>
      </c>
      <c r="G536" s="136">
        <v>104.51</v>
      </c>
      <c r="H536" s="136">
        <v>0</v>
      </c>
      <c r="I536" s="136">
        <v>143.01</v>
      </c>
      <c r="J536" s="134" t="s">
        <v>359</v>
      </c>
    </row>
    <row r="537" spans="1:12" x14ac:dyDescent="0.25">
      <c r="A537" s="131"/>
      <c r="B537" s="131"/>
      <c r="C537" s="137">
        <v>43791</v>
      </c>
      <c r="D537" s="134" t="s">
        <v>1248</v>
      </c>
      <c r="E537" s="134" t="s">
        <v>1249</v>
      </c>
      <c r="F537" s="134" t="s">
        <v>1250</v>
      </c>
      <c r="G537" s="138">
        <v>19.09</v>
      </c>
      <c r="H537" s="138">
        <v>0</v>
      </c>
      <c r="I537" s="136">
        <v>162.1</v>
      </c>
      <c r="J537" s="134" t="s">
        <v>359</v>
      </c>
    </row>
    <row r="538" spans="1:12" x14ac:dyDescent="0.25">
      <c r="A538" s="131"/>
      <c r="B538" s="131"/>
      <c r="C538" s="131"/>
      <c r="D538" s="131"/>
      <c r="E538" s="131"/>
      <c r="F538" s="131"/>
      <c r="G538" s="136">
        <f>SUBTOTAL(9,G535:G537)</f>
        <v>162.1</v>
      </c>
      <c r="H538" s="136">
        <f>SUBTOTAL(9,H535:H537)</f>
        <v>0</v>
      </c>
    </row>
    <row r="540" spans="1:12" x14ac:dyDescent="0.25">
      <c r="A540" s="130" t="s">
        <v>1251</v>
      </c>
      <c r="B540" s="130" t="s">
        <v>1252</v>
      </c>
      <c r="C540" s="135"/>
      <c r="D540" s="135"/>
      <c r="E540" s="135"/>
      <c r="F540" s="135"/>
      <c r="G540" s="135"/>
      <c r="H540" s="135"/>
      <c r="I540" s="136">
        <v>0</v>
      </c>
      <c r="J540" s="134" t="s">
        <v>359</v>
      </c>
    </row>
    <row r="542" spans="1:12" x14ac:dyDescent="0.25">
      <c r="A542" s="130" t="s">
        <v>1253</v>
      </c>
      <c r="B542" s="130" t="s">
        <v>1254</v>
      </c>
      <c r="C542" s="135"/>
      <c r="D542" s="135"/>
      <c r="E542" s="135"/>
      <c r="F542" s="135"/>
      <c r="G542" s="135"/>
      <c r="H542" s="135"/>
      <c r="I542" s="136">
        <v>0</v>
      </c>
      <c r="J542" s="134" t="s">
        <v>359</v>
      </c>
    </row>
    <row r="544" spans="1:12" x14ac:dyDescent="0.25">
      <c r="A544" s="130" t="s">
        <v>1255</v>
      </c>
      <c r="B544" s="130" t="s">
        <v>1256</v>
      </c>
      <c r="C544" s="135"/>
      <c r="D544" s="135"/>
      <c r="E544" s="135"/>
      <c r="F544" s="135"/>
      <c r="G544" s="135"/>
      <c r="H544" s="135"/>
      <c r="I544" s="136">
        <v>0</v>
      </c>
      <c r="J544" s="134" t="s">
        <v>359</v>
      </c>
    </row>
    <row r="545" spans="1:10" x14ac:dyDescent="0.25">
      <c r="A545" s="131"/>
      <c r="B545" s="131"/>
      <c r="C545" s="137">
        <v>43830</v>
      </c>
      <c r="D545" s="134" t="s">
        <v>1257</v>
      </c>
      <c r="E545" s="134" t="s">
        <v>363</v>
      </c>
      <c r="F545" s="134" t="s">
        <v>1258</v>
      </c>
      <c r="G545" s="136">
        <v>0</v>
      </c>
      <c r="H545" s="136">
        <v>91806.86</v>
      </c>
      <c r="I545" s="136">
        <v>91806.86</v>
      </c>
      <c r="J545" s="134" t="s">
        <v>358</v>
      </c>
    </row>
    <row r="546" spans="1:10" x14ac:dyDescent="0.25">
      <c r="A546" s="131"/>
      <c r="B546" s="131"/>
      <c r="C546" s="137">
        <v>43861</v>
      </c>
      <c r="D546" s="134" t="s">
        <v>1259</v>
      </c>
      <c r="E546" s="134" t="s">
        <v>363</v>
      </c>
      <c r="F546" s="134" t="s">
        <v>1260</v>
      </c>
      <c r="G546" s="136">
        <v>0</v>
      </c>
      <c r="H546" s="136">
        <v>11835.84</v>
      </c>
      <c r="I546" s="136">
        <v>103642.7</v>
      </c>
      <c r="J546" s="134" t="s">
        <v>358</v>
      </c>
    </row>
    <row r="547" spans="1:10" x14ac:dyDescent="0.25">
      <c r="A547" s="131"/>
      <c r="B547" s="131"/>
      <c r="C547" s="137">
        <v>43890</v>
      </c>
      <c r="D547" s="134" t="s">
        <v>1261</v>
      </c>
      <c r="E547" s="134" t="s">
        <v>363</v>
      </c>
      <c r="F547" s="134" t="s">
        <v>1262</v>
      </c>
      <c r="G547" s="136">
        <v>0</v>
      </c>
      <c r="H547" s="136">
        <v>7989</v>
      </c>
      <c r="I547" s="136">
        <v>111631.7</v>
      </c>
      <c r="J547" s="134" t="s">
        <v>358</v>
      </c>
    </row>
    <row r="548" spans="1:10" x14ac:dyDescent="0.25">
      <c r="A548" s="131"/>
      <c r="B548" s="131"/>
      <c r="C548" s="137">
        <v>43921</v>
      </c>
      <c r="D548" s="134" t="s">
        <v>1263</v>
      </c>
      <c r="E548" s="134" t="s">
        <v>363</v>
      </c>
      <c r="F548" s="134" t="s">
        <v>1264</v>
      </c>
      <c r="G548" s="138">
        <v>0</v>
      </c>
      <c r="H548" s="138">
        <v>10118.700000000001</v>
      </c>
      <c r="I548" s="136">
        <v>121750.39999999999</v>
      </c>
      <c r="J548" s="134" t="s">
        <v>358</v>
      </c>
    </row>
    <row r="549" spans="1:10" x14ac:dyDescent="0.25">
      <c r="A549" s="131"/>
      <c r="B549" s="131"/>
      <c r="C549" s="131"/>
      <c r="D549" s="131"/>
      <c r="E549" s="131"/>
      <c r="F549" s="131"/>
      <c r="G549" s="136">
        <f>SUBTOTAL(9,G545:G548)</f>
        <v>0</v>
      </c>
      <c r="H549" s="136">
        <f>SUBTOTAL(9,H545:H548)</f>
        <v>121750.39999999999</v>
      </c>
    </row>
    <row r="551" spans="1:10" x14ac:dyDescent="0.25">
      <c r="A551" s="130" t="s">
        <v>1265</v>
      </c>
      <c r="B551" s="130" t="s">
        <v>1266</v>
      </c>
      <c r="C551" s="135"/>
      <c r="D551" s="135"/>
      <c r="E551" s="135"/>
      <c r="F551" s="135"/>
      <c r="G551" s="135"/>
      <c r="H551" s="135"/>
      <c r="I551" s="136">
        <v>0</v>
      </c>
      <c r="J551" s="134" t="s">
        <v>359</v>
      </c>
    </row>
    <row r="553" spans="1:10" x14ac:dyDescent="0.25">
      <c r="A553" s="130" t="s">
        <v>1267</v>
      </c>
      <c r="B553" s="130" t="s">
        <v>1268</v>
      </c>
      <c r="C553" s="135"/>
      <c r="D553" s="135"/>
      <c r="E553" s="135"/>
      <c r="F553" s="135"/>
      <c r="G553" s="135"/>
      <c r="H553" s="135"/>
      <c r="I553" s="136">
        <v>0</v>
      </c>
      <c r="J553" s="134" t="s">
        <v>359</v>
      </c>
    </row>
    <row r="554" spans="1:10" x14ac:dyDescent="0.25">
      <c r="A554" s="504" t="s">
        <v>1277</v>
      </c>
      <c r="B554" s="504"/>
      <c r="C554" s="504"/>
      <c r="D554" s="504"/>
      <c r="E554" s="504"/>
      <c r="F554" s="504"/>
      <c r="G554" s="504"/>
      <c r="H554" s="504"/>
      <c r="I554" s="504"/>
      <c r="J554" s="504"/>
    </row>
  </sheetData>
  <sortState xmlns:xlrd2="http://schemas.microsoft.com/office/spreadsheetml/2017/richdata2" ref="K70:N76">
    <sortCondition ref="N70:N76"/>
    <sortCondition ref="K70:K76"/>
  </sortState>
  <mergeCells count="1">
    <mergeCell ref="A554:J554"/>
  </mergeCells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&amp;L&amp;Z&amp;F&amp;F</oddFooter>
  </headerFooter>
  <rowBreaks count="1" manualBreakCount="1">
    <brk id="47" min="10" max="1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5CDEF-DF16-4941-AC9E-B5C1E76510A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47"/>
  <sheetViews>
    <sheetView zoomScaleNormal="100" workbookViewId="0">
      <pane xSplit="1" ySplit="6" topLeftCell="AH7" activePane="bottomRight" state="frozen"/>
      <selection pane="topRight" activeCell="B1" sqref="B1"/>
      <selection pane="bottomLeft" activeCell="A7" sqref="A7"/>
      <selection pane="bottomRight" activeCell="AI6" sqref="AI6"/>
    </sheetView>
  </sheetViews>
  <sheetFormatPr defaultRowHeight="15.75" x14ac:dyDescent="0.25"/>
  <cols>
    <col min="1" max="1" width="40.5703125" customWidth="1"/>
    <col min="2" max="2" width="7.85546875" style="17" customWidth="1"/>
    <col min="3" max="3" width="9.140625" style="17"/>
    <col min="4" max="4" width="18" style="17" customWidth="1"/>
    <col min="5" max="5" width="19.85546875" style="110" customWidth="1"/>
    <col min="6" max="6" width="20.140625" style="110" customWidth="1"/>
    <col min="7" max="7" width="22.28515625" style="449" customWidth="1"/>
    <col min="8" max="8" width="16.5703125" style="110" customWidth="1"/>
    <col min="9" max="9" width="17.7109375" style="17" customWidth="1"/>
    <col min="10" max="10" width="9.140625" style="122"/>
    <col min="11" max="11" width="11.140625" style="126" customWidth="1"/>
    <col min="12" max="12" width="14.140625" style="126" customWidth="1"/>
    <col min="13" max="13" width="15.7109375" customWidth="1"/>
    <col min="14" max="14" width="11.7109375" customWidth="1"/>
    <col min="15" max="15" width="13.140625" customWidth="1"/>
    <col min="16" max="16" width="12.7109375" customWidth="1"/>
    <col min="20" max="20" width="23.140625" customWidth="1"/>
  </cols>
  <sheetData>
    <row r="1" spans="1:22" x14ac:dyDescent="0.25">
      <c r="A1" s="210"/>
      <c r="B1" s="394"/>
      <c r="C1" s="394"/>
      <c r="D1" s="501"/>
      <c r="E1" s="390"/>
      <c r="F1" s="391"/>
      <c r="G1" s="392"/>
      <c r="H1" s="393"/>
      <c r="I1" s="394"/>
      <c r="N1" s="356"/>
      <c r="O1" s="357"/>
      <c r="P1" s="358" t="s">
        <v>1343</v>
      </c>
      <c r="Q1" s="359"/>
    </row>
    <row r="2" spans="1:22" s="3" customFormat="1" ht="18.75" x14ac:dyDescent="0.3">
      <c r="A2" s="214" t="s">
        <v>1906</v>
      </c>
      <c r="B2" s="450"/>
      <c r="C2" s="451" t="s">
        <v>85</v>
      </c>
      <c r="D2" s="502"/>
      <c r="E2" s="395"/>
      <c r="F2" s="396"/>
      <c r="G2" s="397"/>
      <c r="H2" s="398"/>
      <c r="I2" s="399"/>
      <c r="J2" s="123"/>
      <c r="K2" s="127"/>
      <c r="L2" s="127"/>
      <c r="M2" s="360" t="s">
        <v>16</v>
      </c>
      <c r="N2" s="360" t="s">
        <v>16</v>
      </c>
      <c r="O2" s="361" t="s">
        <v>16</v>
      </c>
      <c r="P2" s="360" t="s">
        <v>120</v>
      </c>
      <c r="Q2" s="362" t="s">
        <v>1457</v>
      </c>
    </row>
    <row r="3" spans="1:22" s="3" customFormat="1" ht="18.75" x14ac:dyDescent="0.3">
      <c r="A3" s="217" t="s">
        <v>1954</v>
      </c>
      <c r="B3" s="452"/>
      <c r="C3" s="453" t="s">
        <v>1907</v>
      </c>
      <c r="D3" s="502"/>
      <c r="E3" s="395"/>
      <c r="F3" s="396"/>
      <c r="G3" s="400"/>
      <c r="H3" s="398"/>
      <c r="I3" s="401"/>
      <c r="J3" s="123"/>
      <c r="K3" s="127"/>
      <c r="L3" s="158" t="s">
        <v>3</v>
      </c>
      <c r="M3" s="360" t="s">
        <v>121</v>
      </c>
      <c r="N3" s="360" t="s">
        <v>121</v>
      </c>
      <c r="O3" s="361" t="s">
        <v>17</v>
      </c>
      <c r="P3" s="360" t="s">
        <v>17</v>
      </c>
      <c r="Q3" s="362" t="s">
        <v>19</v>
      </c>
    </row>
    <row r="4" spans="1:22" x14ac:dyDescent="0.25">
      <c r="A4" s="228"/>
      <c r="B4" s="405"/>
      <c r="C4" s="405"/>
      <c r="D4" s="405"/>
      <c r="E4" s="402"/>
      <c r="F4" s="402"/>
      <c r="G4" s="403"/>
      <c r="H4" s="404" t="s">
        <v>1343</v>
      </c>
      <c r="I4" s="405"/>
      <c r="L4" s="160" t="s">
        <v>1326</v>
      </c>
      <c r="M4">
        <v>120500</v>
      </c>
      <c r="N4" s="4">
        <v>116600</v>
      </c>
      <c r="O4" s="4">
        <v>117700</v>
      </c>
      <c r="P4" s="4">
        <v>127472</v>
      </c>
      <c r="Q4" s="161">
        <v>132515</v>
      </c>
      <c r="T4" s="16" t="s">
        <v>1653</v>
      </c>
    </row>
    <row r="5" spans="1:22" x14ac:dyDescent="0.25">
      <c r="A5" s="228"/>
      <c r="B5" s="405"/>
      <c r="C5" s="405"/>
      <c r="D5" s="406" t="s">
        <v>16</v>
      </c>
      <c r="E5" s="503" t="s">
        <v>16</v>
      </c>
      <c r="F5" s="407" t="s">
        <v>16</v>
      </c>
      <c r="G5" s="408" t="s">
        <v>16</v>
      </c>
      <c r="H5" s="407" t="s">
        <v>120</v>
      </c>
      <c r="I5" s="409" t="s">
        <v>1457</v>
      </c>
      <c r="L5" s="160" t="s">
        <v>1327</v>
      </c>
      <c r="M5">
        <v>189600</v>
      </c>
      <c r="N5" s="4">
        <v>177400</v>
      </c>
      <c r="O5" s="4">
        <v>183800</v>
      </c>
      <c r="P5" s="4">
        <v>127010</v>
      </c>
      <c r="Q5" s="161">
        <v>191093</v>
      </c>
      <c r="T5" t="s">
        <v>1650</v>
      </c>
      <c r="U5" s="4"/>
      <c r="V5" s="4">
        <v>150028</v>
      </c>
    </row>
    <row r="6" spans="1:22" x14ac:dyDescent="0.25">
      <c r="A6" s="228"/>
      <c r="B6" s="405" t="s">
        <v>1532</v>
      </c>
      <c r="C6" s="405" t="s">
        <v>1533</v>
      </c>
      <c r="D6" s="406" t="s">
        <v>1957</v>
      </c>
      <c r="E6" s="503" t="s">
        <v>1531</v>
      </c>
      <c r="F6" s="407" t="s">
        <v>121</v>
      </c>
      <c r="G6" s="408" t="s">
        <v>17</v>
      </c>
      <c r="H6" s="407" t="s">
        <v>17</v>
      </c>
      <c r="I6" s="409" t="s">
        <v>19</v>
      </c>
      <c r="L6" s="160"/>
      <c r="M6" s="363">
        <f>M4-M5</f>
        <v>-69100</v>
      </c>
      <c r="N6" s="363">
        <f>N4-N5</f>
        <v>-60800</v>
      </c>
      <c r="O6" s="363">
        <f t="shared" ref="O6:P6" si="0">O4-O5</f>
        <v>-66100</v>
      </c>
      <c r="P6" s="363">
        <f t="shared" si="0"/>
        <v>462</v>
      </c>
      <c r="Q6" s="363">
        <f>Q4-Q5</f>
        <v>-58578</v>
      </c>
      <c r="T6" t="s">
        <v>1651</v>
      </c>
      <c r="U6" s="4"/>
      <c r="V6" s="4"/>
    </row>
    <row r="7" spans="1:22" x14ac:dyDescent="0.25">
      <c r="A7" s="179"/>
      <c r="B7" s="445"/>
      <c r="C7" s="445"/>
      <c r="D7" s="445"/>
      <c r="E7" s="410"/>
      <c r="F7" s="411"/>
      <c r="G7" s="412"/>
      <c r="H7" s="411"/>
      <c r="I7" s="413"/>
      <c r="L7" s="160"/>
      <c r="M7" s="161"/>
      <c r="N7" s="161"/>
      <c r="O7" s="161"/>
      <c r="P7" s="161"/>
      <c r="T7" t="s">
        <v>1652</v>
      </c>
      <c r="U7" s="4">
        <v>118024</v>
      </c>
      <c r="V7" s="4"/>
    </row>
    <row r="8" spans="1:22" ht="18.75" x14ac:dyDescent="0.3">
      <c r="A8" s="239" t="s">
        <v>1</v>
      </c>
      <c r="B8" s="413"/>
      <c r="C8" s="445"/>
      <c r="D8" s="445"/>
      <c r="E8" s="410"/>
      <c r="F8" s="410"/>
      <c r="G8" s="414"/>
      <c r="H8" s="410"/>
      <c r="I8" s="415"/>
      <c r="T8" t="s">
        <v>1654</v>
      </c>
      <c r="U8" s="4">
        <v>8873</v>
      </c>
      <c r="V8" s="4"/>
    </row>
    <row r="9" spans="1:22" x14ac:dyDescent="0.25">
      <c r="A9" s="179"/>
      <c r="B9" s="445"/>
      <c r="C9" s="445"/>
      <c r="D9" s="445"/>
      <c r="E9" s="410"/>
      <c r="F9" s="410"/>
      <c r="G9" s="416"/>
      <c r="H9" s="410"/>
      <c r="I9" s="416"/>
      <c r="K9" s="4">
        <v>118000</v>
      </c>
      <c r="R9">
        <f>M9</f>
        <v>0</v>
      </c>
      <c r="T9" t="s">
        <v>1655</v>
      </c>
      <c r="U9" s="4">
        <v>8346</v>
      </c>
      <c r="V9" s="4">
        <f>SUM(U7:U9)</f>
        <v>135243</v>
      </c>
    </row>
    <row r="10" spans="1:22" x14ac:dyDescent="0.25">
      <c r="A10" s="179" t="s">
        <v>7</v>
      </c>
      <c r="B10" s="445">
        <v>99999</v>
      </c>
      <c r="C10" s="454" t="s">
        <v>1850</v>
      </c>
      <c r="D10" s="454"/>
      <c r="E10" s="410">
        <v>0</v>
      </c>
      <c r="F10" s="410">
        <v>0</v>
      </c>
      <c r="G10" s="416">
        <v>0</v>
      </c>
      <c r="H10" s="410">
        <v>0</v>
      </c>
      <c r="I10" s="410">
        <v>0</v>
      </c>
      <c r="K10" s="4">
        <v>72000</v>
      </c>
      <c r="U10" s="4"/>
      <c r="V10" s="4"/>
    </row>
    <row r="11" spans="1:22" x14ac:dyDescent="0.25">
      <c r="A11" s="179" t="s">
        <v>349</v>
      </c>
      <c r="B11" s="445">
        <v>11000</v>
      </c>
      <c r="C11" s="454">
        <v>4010</v>
      </c>
      <c r="D11" s="454"/>
      <c r="E11" s="410">
        <v>0</v>
      </c>
      <c r="F11" s="410">
        <v>0</v>
      </c>
      <c r="G11" s="410">
        <v>0</v>
      </c>
      <c r="H11" s="410">
        <v>-1380</v>
      </c>
      <c r="I11" s="410">
        <v>6808</v>
      </c>
      <c r="K11" s="4">
        <v>0</v>
      </c>
      <c r="M11" s="126" t="s">
        <v>345</v>
      </c>
      <c r="N11" s="126"/>
      <c r="P11" s="121" t="s">
        <v>346</v>
      </c>
      <c r="T11" t="s">
        <v>1656</v>
      </c>
      <c r="U11" s="4"/>
      <c r="V11" s="97">
        <f>V5-V9</f>
        <v>14785</v>
      </c>
    </row>
    <row r="12" spans="1:22" x14ac:dyDescent="0.25">
      <c r="A12" s="179" t="s">
        <v>4</v>
      </c>
      <c r="B12" s="445">
        <v>11000</v>
      </c>
      <c r="C12" s="445">
        <v>4010</v>
      </c>
      <c r="D12" s="445"/>
      <c r="E12" s="410">
        <v>507048</v>
      </c>
      <c r="F12" s="410">
        <v>475166</v>
      </c>
      <c r="G12" s="410">
        <v>456000</v>
      </c>
      <c r="H12" s="410">
        <v>466076</v>
      </c>
      <c r="I12" s="417">
        <v>438020</v>
      </c>
      <c r="K12" s="174">
        <v>0</v>
      </c>
      <c r="L12" s="160" t="s">
        <v>1412</v>
      </c>
    </row>
    <row r="13" spans="1:22" x14ac:dyDescent="0.25">
      <c r="A13" s="207" t="s">
        <v>5</v>
      </c>
      <c r="B13" s="455">
        <v>12000</v>
      </c>
      <c r="C13" s="445">
        <v>4010</v>
      </c>
      <c r="D13" s="445"/>
      <c r="E13" s="410">
        <v>118000</v>
      </c>
      <c r="F13" s="410">
        <v>113000</v>
      </c>
      <c r="G13" s="410">
        <v>110000</v>
      </c>
      <c r="H13" s="410">
        <v>112712</v>
      </c>
      <c r="I13" s="417">
        <v>109000</v>
      </c>
      <c r="K13" s="241">
        <f>SUM(K9:K12)</f>
        <v>190000</v>
      </c>
      <c r="L13" s="126">
        <v>150000</v>
      </c>
    </row>
    <row r="14" spans="1:22" x14ac:dyDescent="0.25">
      <c r="A14" s="179" t="s">
        <v>347</v>
      </c>
      <c r="B14" s="445">
        <v>12000</v>
      </c>
      <c r="C14" s="456">
        <v>4020</v>
      </c>
      <c r="D14" s="456"/>
      <c r="E14" s="418">
        <v>0</v>
      </c>
      <c r="F14" s="419">
        <v>0</v>
      </c>
      <c r="G14" s="410">
        <v>0</v>
      </c>
      <c r="H14" s="419">
        <v>24000</v>
      </c>
      <c r="I14" s="417">
        <v>26753</v>
      </c>
      <c r="K14" s="126" t="s">
        <v>1900</v>
      </c>
      <c r="L14"/>
      <c r="T14" s="16" t="s">
        <v>1956</v>
      </c>
    </row>
    <row r="15" spans="1:22" x14ac:dyDescent="0.25">
      <c r="A15" s="179" t="s">
        <v>1901</v>
      </c>
      <c r="B15" s="445">
        <v>15000</v>
      </c>
      <c r="C15" s="445" t="s">
        <v>369</v>
      </c>
      <c r="D15" s="445"/>
      <c r="E15" s="410">
        <v>3000</v>
      </c>
      <c r="F15" s="410">
        <v>3000</v>
      </c>
      <c r="G15" s="410">
        <f>104+575</f>
        <v>679</v>
      </c>
      <c r="H15" s="410">
        <v>4347</v>
      </c>
      <c r="I15" s="417">
        <v>600</v>
      </c>
      <c r="J15" s="122" t="s">
        <v>1356</v>
      </c>
      <c r="L15" s="126">
        <v>4204</v>
      </c>
      <c r="M15">
        <v>4205</v>
      </c>
      <c r="N15">
        <v>4207</v>
      </c>
      <c r="O15">
        <v>4210</v>
      </c>
      <c r="P15">
        <v>4211</v>
      </c>
      <c r="Q15">
        <v>4213</v>
      </c>
      <c r="T15" t="s">
        <v>1650</v>
      </c>
      <c r="U15" s="4"/>
      <c r="V15" s="4">
        <v>150028</v>
      </c>
    </row>
    <row r="16" spans="1:22" x14ac:dyDescent="0.25">
      <c r="A16" s="207" t="s">
        <v>13</v>
      </c>
      <c r="B16" s="455">
        <v>15000</v>
      </c>
      <c r="C16" s="445">
        <v>4160</v>
      </c>
      <c r="D16" s="445"/>
      <c r="E16" s="410">
        <v>3000</v>
      </c>
      <c r="F16" s="410">
        <v>4500</v>
      </c>
      <c r="G16" s="410">
        <v>4500</v>
      </c>
      <c r="H16" s="410">
        <v>6500</v>
      </c>
      <c r="I16" s="417">
        <v>3784</v>
      </c>
      <c r="T16" t="s">
        <v>1651</v>
      </c>
      <c r="U16" s="4"/>
      <c r="V16" s="4"/>
    </row>
    <row r="17" spans="1:22" x14ac:dyDescent="0.25">
      <c r="A17" s="179" t="s">
        <v>15</v>
      </c>
      <c r="B17" s="445">
        <v>15000</v>
      </c>
      <c r="C17" s="445" t="s">
        <v>393</v>
      </c>
      <c r="D17" s="445"/>
      <c r="E17" s="410">
        <v>500</v>
      </c>
      <c r="F17" s="410">
        <v>500</v>
      </c>
      <c r="G17" s="410">
        <v>2000</v>
      </c>
      <c r="H17" s="410"/>
      <c r="I17" s="417">
        <f>21</f>
        <v>21</v>
      </c>
      <c r="K17" s="126">
        <v>4092</v>
      </c>
      <c r="L17" s="126">
        <v>4220</v>
      </c>
      <c r="M17">
        <v>4155</v>
      </c>
      <c r="N17">
        <v>4170</v>
      </c>
      <c r="O17" s="120">
        <v>4245</v>
      </c>
      <c r="T17" t="s">
        <v>1652</v>
      </c>
      <c r="U17" s="125">
        <v>118024</v>
      </c>
      <c r="V17" s="4"/>
    </row>
    <row r="18" spans="1:22" x14ac:dyDescent="0.25">
      <c r="A18" s="179" t="s">
        <v>1902</v>
      </c>
      <c r="B18" s="445">
        <v>15000</v>
      </c>
      <c r="C18" s="445">
        <v>4242</v>
      </c>
      <c r="D18" s="445"/>
      <c r="E18" s="410">
        <v>0</v>
      </c>
      <c r="F18" s="410">
        <v>0</v>
      </c>
      <c r="G18" s="410">
        <v>0</v>
      </c>
      <c r="H18" s="410">
        <v>0</v>
      </c>
      <c r="I18" s="417">
        <v>870</v>
      </c>
      <c r="K18" s="126" t="s">
        <v>1357</v>
      </c>
      <c r="T18" t="s">
        <v>1654</v>
      </c>
      <c r="U18" s="4">
        <v>9294</v>
      </c>
      <c r="V18" s="4"/>
    </row>
    <row r="19" spans="1:22" x14ac:dyDescent="0.25">
      <c r="A19" s="179" t="s">
        <v>383</v>
      </c>
      <c r="B19" s="445">
        <v>15000</v>
      </c>
      <c r="C19" s="445">
        <v>4160</v>
      </c>
      <c r="D19" s="445"/>
      <c r="E19" s="410">
        <v>0</v>
      </c>
      <c r="F19" s="410">
        <v>0</v>
      </c>
      <c r="G19" s="421">
        <v>0</v>
      </c>
      <c r="H19" s="410">
        <v>0</v>
      </c>
      <c r="I19" s="417">
        <v>150</v>
      </c>
      <c r="K19" s="126" t="s">
        <v>1399</v>
      </c>
      <c r="T19" t="s">
        <v>1655</v>
      </c>
      <c r="U19" s="4">
        <v>19497</v>
      </c>
      <c r="V19" s="4">
        <f>SUM(U17:U19)</f>
        <v>146815</v>
      </c>
    </row>
    <row r="20" spans="1:22" x14ac:dyDescent="0.25">
      <c r="A20" s="179" t="s">
        <v>10</v>
      </c>
      <c r="B20" s="445">
        <v>17000</v>
      </c>
      <c r="C20" s="445">
        <v>4045</v>
      </c>
      <c r="D20" s="445"/>
      <c r="E20" s="410">
        <v>1000</v>
      </c>
      <c r="F20" s="410">
        <v>45000</v>
      </c>
      <c r="G20" s="410">
        <v>1000</v>
      </c>
      <c r="H20" s="410">
        <v>0</v>
      </c>
      <c r="I20" s="420">
        <f>7848+640</f>
        <v>8488</v>
      </c>
      <c r="J20" s="122" t="s">
        <v>1359</v>
      </c>
      <c r="K20" s="126">
        <v>4045</v>
      </c>
      <c r="L20" s="126">
        <v>4066</v>
      </c>
      <c r="M20" s="126" t="s">
        <v>1355</v>
      </c>
      <c r="P20" s="121"/>
      <c r="U20" s="4"/>
      <c r="V20" s="4"/>
    </row>
    <row r="21" spans="1:22" x14ac:dyDescent="0.25">
      <c r="A21" s="179" t="s">
        <v>9</v>
      </c>
      <c r="B21" s="445">
        <v>17000</v>
      </c>
      <c r="C21" s="445">
        <v>4030</v>
      </c>
      <c r="D21" s="445"/>
      <c r="E21" s="410">
        <v>0</v>
      </c>
      <c r="F21" s="410">
        <v>4000</v>
      </c>
      <c r="G21" s="410">
        <v>7000</v>
      </c>
      <c r="H21" s="410">
        <v>0</v>
      </c>
      <c r="I21" s="417">
        <v>0</v>
      </c>
      <c r="K21" s="126">
        <v>4030</v>
      </c>
      <c r="L21" s="126">
        <v>4050</v>
      </c>
      <c r="M21" s="4"/>
      <c r="N21" s="176">
        <f>11337.83+2494</f>
        <v>13831.83</v>
      </c>
      <c r="O21" t="s">
        <v>1354</v>
      </c>
      <c r="T21" t="s">
        <v>1656</v>
      </c>
      <c r="U21" s="4"/>
      <c r="V21" s="97">
        <f>V15-V19</f>
        <v>3213</v>
      </c>
    </row>
    <row r="22" spans="1:22" x14ac:dyDescent="0.25">
      <c r="A22" s="207" t="s">
        <v>6</v>
      </c>
      <c r="B22" s="455">
        <v>18000</v>
      </c>
      <c r="C22" s="445">
        <v>4020</v>
      </c>
      <c r="D22" s="445"/>
      <c r="E22" s="410">
        <v>72042</v>
      </c>
      <c r="F22" s="410">
        <v>9294</v>
      </c>
      <c r="G22" s="410">
        <v>8300</v>
      </c>
      <c r="H22" s="410">
        <v>8873</v>
      </c>
      <c r="I22" s="410">
        <f>7555+687</f>
        <v>8242</v>
      </c>
      <c r="J22" s="122">
        <f>SUM(F20:F21)</f>
        <v>49000</v>
      </c>
      <c r="K22" s="4"/>
    </row>
    <row r="23" spans="1:22" x14ac:dyDescent="0.25">
      <c r="A23" s="207" t="s">
        <v>396</v>
      </c>
      <c r="B23" s="455">
        <v>18001</v>
      </c>
      <c r="C23" s="445">
        <v>4042</v>
      </c>
      <c r="D23" s="445"/>
      <c r="E23" s="418">
        <v>0</v>
      </c>
      <c r="F23" s="410">
        <f>150000-113000-9294</f>
        <v>27706</v>
      </c>
      <c r="G23" s="410">
        <v>21000</v>
      </c>
      <c r="H23" s="410">
        <v>3000</v>
      </c>
      <c r="I23" s="417">
        <f>87+33354</f>
        <v>33441</v>
      </c>
      <c r="L23" s="126" t="s">
        <v>348</v>
      </c>
    </row>
    <row r="24" spans="1:22" x14ac:dyDescent="0.25">
      <c r="A24" s="179" t="s">
        <v>11</v>
      </c>
      <c r="B24" s="445">
        <v>19000</v>
      </c>
      <c r="C24" s="445">
        <v>4180</v>
      </c>
      <c r="D24" s="445"/>
      <c r="E24" s="410">
        <v>35000</v>
      </c>
      <c r="F24" s="410">
        <v>35000</v>
      </c>
      <c r="G24" s="410">
        <v>35000</v>
      </c>
      <c r="H24" s="410">
        <v>35000</v>
      </c>
      <c r="I24" s="417">
        <v>35000</v>
      </c>
      <c r="K24" s="126" t="s">
        <v>1658</v>
      </c>
      <c r="N24" t="s">
        <v>350</v>
      </c>
    </row>
    <row r="25" spans="1:22" x14ac:dyDescent="0.25">
      <c r="A25" s="207" t="s">
        <v>12</v>
      </c>
      <c r="B25" s="455">
        <v>19000</v>
      </c>
      <c r="C25" s="445">
        <v>4190</v>
      </c>
      <c r="D25" s="445"/>
      <c r="E25" s="410">
        <v>21600</v>
      </c>
      <c r="F25" s="410">
        <v>21600</v>
      </c>
      <c r="G25" s="410">
        <v>21600</v>
      </c>
      <c r="H25" s="410">
        <v>21600</v>
      </c>
      <c r="I25" s="417">
        <v>21600</v>
      </c>
      <c r="K25" s="126" t="s">
        <v>1657</v>
      </c>
    </row>
    <row r="26" spans="1:22" x14ac:dyDescent="0.25">
      <c r="A26" s="179"/>
      <c r="B26" s="445"/>
      <c r="C26" s="445"/>
      <c r="D26" s="445"/>
      <c r="E26" s="410"/>
      <c r="F26" s="410"/>
      <c r="G26" s="410"/>
      <c r="H26" s="410"/>
      <c r="I26" s="410"/>
    </row>
    <row r="27" spans="1:22" s="3" customFormat="1" x14ac:dyDescent="0.25">
      <c r="A27" s="190" t="s">
        <v>18</v>
      </c>
      <c r="B27" s="457"/>
      <c r="C27" s="457"/>
      <c r="D27" s="457"/>
      <c r="E27" s="422">
        <f>SUM(E10:E26)</f>
        <v>761190</v>
      </c>
      <c r="F27" s="422">
        <f>SUM(F10:F26)</f>
        <v>738766</v>
      </c>
      <c r="G27" s="422">
        <f>SUM(G11:G26)</f>
        <v>667079</v>
      </c>
      <c r="H27" s="422">
        <f>SUM(H10:H26)</f>
        <v>680728</v>
      </c>
      <c r="I27" s="422">
        <f>SUM(I10:I26)</f>
        <v>692777</v>
      </c>
      <c r="J27" s="123"/>
      <c r="K27" s="127"/>
      <c r="L27" s="127"/>
    </row>
    <row r="28" spans="1:22" x14ac:dyDescent="0.25">
      <c r="A28" s="179"/>
      <c r="B28" s="445"/>
      <c r="C28" s="445"/>
      <c r="D28" s="445"/>
      <c r="E28" s="410"/>
      <c r="F28" s="410"/>
      <c r="G28" s="410"/>
      <c r="H28" s="410"/>
      <c r="I28" s="417"/>
    </row>
    <row r="29" spans="1:22" x14ac:dyDescent="0.25">
      <c r="A29" s="190" t="s">
        <v>2</v>
      </c>
      <c r="B29" s="457"/>
      <c r="C29" s="445"/>
      <c r="D29" s="445"/>
      <c r="E29" s="410"/>
      <c r="F29" s="410"/>
      <c r="G29" s="410"/>
      <c r="H29" s="410"/>
      <c r="I29" s="417"/>
    </row>
    <row r="30" spans="1:22" x14ac:dyDescent="0.25">
      <c r="A30" s="179" t="s">
        <v>8</v>
      </c>
      <c r="B30" s="445">
        <v>16000</v>
      </c>
      <c r="C30" s="445">
        <v>4060</v>
      </c>
      <c r="D30" s="445"/>
      <c r="E30" s="410">
        <v>5000</v>
      </c>
      <c r="F30" s="410">
        <v>5000</v>
      </c>
      <c r="G30" s="410">
        <v>5000</v>
      </c>
      <c r="H30" s="410">
        <v>5000</v>
      </c>
      <c r="I30" s="417">
        <v>5000</v>
      </c>
    </row>
    <row r="31" spans="1:22" x14ac:dyDescent="0.25">
      <c r="A31" s="179" t="s">
        <v>9</v>
      </c>
      <c r="B31" s="445">
        <v>17000</v>
      </c>
      <c r="C31" s="445">
        <v>4080</v>
      </c>
      <c r="D31" s="445"/>
      <c r="E31" s="410">
        <v>8000</v>
      </c>
      <c r="F31" s="418">
        <v>18000</v>
      </c>
      <c r="G31" s="410">
        <v>14000</v>
      </c>
      <c r="H31" s="410">
        <v>26000</v>
      </c>
      <c r="I31" s="417">
        <f>42446+1839</f>
        <v>44285</v>
      </c>
      <c r="K31" s="126">
        <v>4030</v>
      </c>
      <c r="L31" s="126">
        <v>4050</v>
      </c>
      <c r="M31" s="4"/>
      <c r="N31" s="176">
        <f>11337.83+2494</f>
        <v>13831.83</v>
      </c>
      <c r="O31" t="s">
        <v>1354</v>
      </c>
    </row>
    <row r="32" spans="1:22" x14ac:dyDescent="0.25">
      <c r="A32" s="179" t="s">
        <v>1903</v>
      </c>
      <c r="B32" s="445">
        <v>17000</v>
      </c>
      <c r="C32" s="445">
        <v>4061</v>
      </c>
      <c r="D32" s="445"/>
      <c r="E32" s="410">
        <v>5000</v>
      </c>
      <c r="F32" s="410">
        <v>0</v>
      </c>
      <c r="G32" s="410">
        <v>5000</v>
      </c>
      <c r="H32" s="410">
        <v>0</v>
      </c>
      <c r="I32" s="417">
        <v>6500</v>
      </c>
    </row>
    <row r="33" spans="1:22" x14ac:dyDescent="0.25">
      <c r="A33" s="179" t="s">
        <v>371</v>
      </c>
      <c r="B33" s="445">
        <v>15000</v>
      </c>
      <c r="C33" s="445" t="s">
        <v>369</v>
      </c>
      <c r="D33" s="445"/>
      <c r="E33" s="410">
        <v>1000</v>
      </c>
      <c r="F33" s="410">
        <v>1000</v>
      </c>
      <c r="G33" s="410">
        <v>0</v>
      </c>
      <c r="H33" s="410">
        <v>875</v>
      </c>
      <c r="I33" s="417">
        <v>4405</v>
      </c>
      <c r="K33" s="126">
        <v>4192</v>
      </c>
      <c r="L33" s="126">
        <v>4193</v>
      </c>
    </row>
    <row r="34" spans="1:22" x14ac:dyDescent="0.25">
      <c r="A34" s="179" t="s">
        <v>14</v>
      </c>
      <c r="B34" s="445">
        <v>15000</v>
      </c>
      <c r="C34" s="445">
        <v>4230</v>
      </c>
      <c r="D34" s="445"/>
      <c r="E34" s="410">
        <v>5000</v>
      </c>
      <c r="F34" s="410">
        <v>0</v>
      </c>
      <c r="G34" s="421">
        <v>0</v>
      </c>
      <c r="H34" s="410">
        <v>0</v>
      </c>
      <c r="I34" s="417">
        <v>4480</v>
      </c>
      <c r="K34" s="126" t="s">
        <v>1400</v>
      </c>
    </row>
    <row r="35" spans="1:22" x14ac:dyDescent="0.25">
      <c r="A35" s="179" t="s">
        <v>1905</v>
      </c>
      <c r="B35" s="445">
        <v>15000</v>
      </c>
      <c r="C35" s="445">
        <v>4217</v>
      </c>
      <c r="D35" s="445"/>
      <c r="E35" s="410">
        <v>0</v>
      </c>
      <c r="F35" s="410">
        <v>0</v>
      </c>
      <c r="G35" s="421">
        <v>0</v>
      </c>
      <c r="H35" s="410">
        <v>0</v>
      </c>
      <c r="I35" s="417">
        <v>22141</v>
      </c>
      <c r="K35" s="126" t="s">
        <v>386</v>
      </c>
    </row>
    <row r="36" spans="1:22" x14ac:dyDescent="0.25">
      <c r="A36" s="179"/>
      <c r="B36" s="445"/>
      <c r="C36" s="445"/>
      <c r="D36" s="445"/>
      <c r="E36" s="410"/>
      <c r="F36" s="410"/>
      <c r="G36" s="410"/>
      <c r="H36" s="410"/>
      <c r="I36" s="417"/>
    </row>
    <row r="37" spans="1:22" s="3" customFormat="1" x14ac:dyDescent="0.25">
      <c r="A37" s="190" t="s">
        <v>20</v>
      </c>
      <c r="B37" s="457"/>
      <c r="C37" s="457"/>
      <c r="D37" s="457"/>
      <c r="E37" s="422">
        <f>SUM(E30:E36)</f>
        <v>24000</v>
      </c>
      <c r="F37" s="422">
        <f>SUM(F30:F36)</f>
        <v>24000</v>
      </c>
      <c r="G37" s="422">
        <f>SUM(G30:G36)</f>
        <v>24000</v>
      </c>
      <c r="H37" s="422">
        <f>SUM(H30:H36)</f>
        <v>31875</v>
      </c>
      <c r="I37" s="422">
        <f>SUM(I30:I36)</f>
        <v>86811</v>
      </c>
      <c r="J37" s="123"/>
      <c r="K37" s="127"/>
      <c r="L37" s="127"/>
    </row>
    <row r="38" spans="1:22" x14ac:dyDescent="0.25">
      <c r="A38" s="179"/>
      <c r="B38" s="445"/>
      <c r="C38" s="445"/>
      <c r="D38" s="445"/>
      <c r="E38" s="410"/>
      <c r="F38" s="410"/>
      <c r="G38" s="410"/>
      <c r="H38" s="410"/>
      <c r="I38" s="417"/>
    </row>
    <row r="39" spans="1:22" x14ac:dyDescent="0.25">
      <c r="A39" s="190" t="s">
        <v>3</v>
      </c>
      <c r="B39" s="457"/>
      <c r="C39" s="445"/>
      <c r="D39" s="445"/>
      <c r="E39" s="410"/>
      <c r="F39" s="410"/>
      <c r="G39" s="410"/>
      <c r="H39" s="410"/>
      <c r="I39" s="417"/>
      <c r="J39" s="122" t="s">
        <v>1384</v>
      </c>
      <c r="L39" s="177">
        <f>5/130</f>
        <v>3.8461538461538464E-2</v>
      </c>
      <c r="M39" s="32" t="s">
        <v>1385</v>
      </c>
    </row>
    <row r="40" spans="1:22" x14ac:dyDescent="0.25">
      <c r="A40" s="207" t="s">
        <v>21</v>
      </c>
      <c r="B40" s="455">
        <v>14000</v>
      </c>
      <c r="C40" s="458" t="s">
        <v>369</v>
      </c>
      <c r="D40" s="458"/>
      <c r="E40" s="423">
        <v>70000</v>
      </c>
      <c r="F40" s="424">
        <v>60000</v>
      </c>
      <c r="G40" s="410">
        <v>60000</v>
      </c>
      <c r="H40" s="410">
        <v>55100</v>
      </c>
      <c r="I40" s="417">
        <f>57111-200</f>
        <v>56911</v>
      </c>
      <c r="J40" s="122" t="s">
        <v>1383</v>
      </c>
      <c r="K40" s="126">
        <v>4005</v>
      </c>
      <c r="L40" s="126">
        <v>4020</v>
      </c>
      <c r="M40">
        <v>4030</v>
      </c>
      <c r="N40">
        <v>4040</v>
      </c>
      <c r="O40">
        <v>4050</v>
      </c>
      <c r="P40">
        <v>4060</v>
      </c>
      <c r="Q40">
        <v>4070</v>
      </c>
      <c r="R40">
        <v>4075</v>
      </c>
      <c r="S40">
        <v>4080</v>
      </c>
      <c r="T40">
        <v>4085</v>
      </c>
      <c r="U40">
        <v>4100</v>
      </c>
      <c r="V40">
        <v>4110</v>
      </c>
    </row>
    <row r="41" spans="1:22" x14ac:dyDescent="0.25">
      <c r="A41" s="207" t="s">
        <v>390</v>
      </c>
      <c r="B41" s="455">
        <v>14000</v>
      </c>
      <c r="C41" s="458">
        <v>4120</v>
      </c>
      <c r="D41" s="458"/>
      <c r="E41" s="423">
        <v>500</v>
      </c>
      <c r="F41" s="424">
        <v>1000</v>
      </c>
      <c r="G41" s="410">
        <v>0</v>
      </c>
      <c r="H41" s="410">
        <v>0</v>
      </c>
      <c r="I41" s="417">
        <v>200</v>
      </c>
      <c r="K41" s="126" t="s">
        <v>1387</v>
      </c>
    </row>
    <row r="42" spans="1:22" x14ac:dyDescent="0.25">
      <c r="A42" s="207" t="s">
        <v>26</v>
      </c>
      <c r="B42" s="455">
        <v>14000</v>
      </c>
      <c r="C42" s="458">
        <v>4150</v>
      </c>
      <c r="D42" s="458"/>
      <c r="E42" s="423">
        <v>500</v>
      </c>
      <c r="F42" s="424">
        <v>500</v>
      </c>
      <c r="G42" s="410">
        <v>400</v>
      </c>
      <c r="H42" s="410">
        <v>0</v>
      </c>
      <c r="I42" s="417">
        <v>328</v>
      </c>
    </row>
    <row r="43" spans="1:22" x14ac:dyDescent="0.25">
      <c r="A43" s="179" t="s">
        <v>1845</v>
      </c>
      <c r="B43" s="445">
        <v>17000</v>
      </c>
      <c r="C43" s="458">
        <v>4190</v>
      </c>
      <c r="D43" s="458"/>
      <c r="E43" s="423">
        <v>5000</v>
      </c>
      <c r="F43" s="410">
        <v>14000</v>
      </c>
      <c r="G43" s="410">
        <v>14200</v>
      </c>
      <c r="H43" s="410">
        <v>6500</v>
      </c>
      <c r="I43" s="417">
        <f>8780+4400</f>
        <v>13180</v>
      </c>
      <c r="K43" s="126" t="s">
        <v>399</v>
      </c>
      <c r="L43" s="126" t="s">
        <v>1386</v>
      </c>
    </row>
    <row r="44" spans="1:22" x14ac:dyDescent="0.25">
      <c r="A44" s="207" t="s">
        <v>384</v>
      </c>
      <c r="B44" s="455">
        <v>15000</v>
      </c>
      <c r="C44" s="458">
        <v>4160</v>
      </c>
      <c r="D44" s="458"/>
      <c r="E44" s="423">
        <v>3500</v>
      </c>
      <c r="F44" s="418">
        <v>2000</v>
      </c>
      <c r="G44" s="410">
        <v>500</v>
      </c>
      <c r="H44" s="410">
        <v>0</v>
      </c>
      <c r="I44" s="417">
        <v>300</v>
      </c>
      <c r="L44" s="126" t="s">
        <v>394</v>
      </c>
    </row>
    <row r="45" spans="1:22" x14ac:dyDescent="0.25">
      <c r="A45" s="179" t="s">
        <v>22</v>
      </c>
      <c r="B45" s="445">
        <v>15000</v>
      </c>
      <c r="C45" s="458">
        <v>4171</v>
      </c>
      <c r="D45" s="458"/>
      <c r="E45" s="423">
        <v>500</v>
      </c>
      <c r="F45" s="410">
        <v>500</v>
      </c>
      <c r="G45" s="410">
        <v>1100</v>
      </c>
      <c r="H45" s="410">
        <v>0</v>
      </c>
      <c r="I45" s="417">
        <v>1309</v>
      </c>
      <c r="K45" s="126" t="s">
        <v>1401</v>
      </c>
      <c r="M45" t="s">
        <v>1402</v>
      </c>
    </row>
    <row r="46" spans="1:22" x14ac:dyDescent="0.25">
      <c r="A46" s="207" t="s">
        <v>23</v>
      </c>
      <c r="B46" s="455">
        <v>14000</v>
      </c>
      <c r="C46" s="458">
        <v>4500</v>
      </c>
      <c r="D46" s="458"/>
      <c r="E46" s="423">
        <v>30000</v>
      </c>
      <c r="F46" s="424">
        <v>30000</v>
      </c>
      <c r="G46" s="410">
        <v>32000</v>
      </c>
      <c r="H46" s="410">
        <v>10000</v>
      </c>
      <c r="I46" s="417">
        <v>31436</v>
      </c>
      <c r="K46" s="126" t="s">
        <v>1388</v>
      </c>
    </row>
    <row r="47" spans="1:22" x14ac:dyDescent="0.25">
      <c r="A47" s="179" t="s">
        <v>25</v>
      </c>
      <c r="B47" s="445">
        <v>15000</v>
      </c>
      <c r="C47" s="458">
        <v>4200</v>
      </c>
      <c r="D47" s="458"/>
      <c r="E47" s="423">
        <v>0</v>
      </c>
      <c r="F47" s="410">
        <v>0</v>
      </c>
      <c r="G47" s="410">
        <v>0</v>
      </c>
      <c r="H47" s="410">
        <v>0</v>
      </c>
      <c r="I47" s="417">
        <v>0</v>
      </c>
      <c r="K47" s="126" t="s">
        <v>1389</v>
      </c>
    </row>
    <row r="48" spans="1:22" x14ac:dyDescent="0.25">
      <c r="A48" s="179" t="s">
        <v>24</v>
      </c>
      <c r="B48" s="445">
        <v>15000</v>
      </c>
      <c r="C48" s="458" t="s">
        <v>369</v>
      </c>
      <c r="D48" s="458"/>
      <c r="E48" s="423">
        <v>0</v>
      </c>
      <c r="F48" s="410">
        <v>100</v>
      </c>
      <c r="G48" s="410">
        <v>1000</v>
      </c>
      <c r="H48" s="410">
        <v>30</v>
      </c>
      <c r="I48" s="417">
        <v>528</v>
      </c>
      <c r="K48" s="126">
        <v>4140</v>
      </c>
      <c r="L48" s="126">
        <v>4205</v>
      </c>
      <c r="M48">
        <v>4420</v>
      </c>
    </row>
    <row r="49" spans="1:14" x14ac:dyDescent="0.25">
      <c r="A49" s="179" t="s">
        <v>28</v>
      </c>
      <c r="B49" s="445">
        <v>16000</v>
      </c>
      <c r="C49" s="458">
        <v>4180</v>
      </c>
      <c r="D49" s="458"/>
      <c r="E49" s="423">
        <v>8500</v>
      </c>
      <c r="F49" s="410">
        <v>8500</v>
      </c>
      <c r="G49" s="421">
        <v>8500</v>
      </c>
      <c r="H49" s="418">
        <v>8500</v>
      </c>
      <c r="I49" s="417">
        <v>8500</v>
      </c>
      <c r="K49" s="126" t="s">
        <v>367</v>
      </c>
      <c r="N49" t="s">
        <v>400</v>
      </c>
    </row>
    <row r="50" spans="1:14" x14ac:dyDescent="0.25">
      <c r="A50" s="179" t="s">
        <v>1904</v>
      </c>
      <c r="B50" s="445">
        <v>17000</v>
      </c>
      <c r="C50" s="458"/>
      <c r="D50" s="458"/>
      <c r="E50" s="423">
        <v>2000</v>
      </c>
      <c r="F50" s="410">
        <v>0</v>
      </c>
      <c r="G50" s="421">
        <v>0</v>
      </c>
      <c r="H50" s="410">
        <v>0</v>
      </c>
      <c r="I50" s="417">
        <v>0</v>
      </c>
      <c r="K50" s="126" t="s">
        <v>1519</v>
      </c>
    </row>
    <row r="51" spans="1:14" x14ac:dyDescent="0.25">
      <c r="A51" s="179"/>
      <c r="B51" s="445"/>
      <c r="C51" s="445"/>
      <c r="D51" s="445"/>
      <c r="E51" s="410"/>
      <c r="F51" s="410"/>
      <c r="G51" s="410"/>
      <c r="H51" s="410"/>
      <c r="I51" s="417"/>
    </row>
    <row r="52" spans="1:14" s="3" customFormat="1" x14ac:dyDescent="0.25">
      <c r="A52" s="190" t="s">
        <v>20</v>
      </c>
      <c r="B52" s="457"/>
      <c r="C52" s="457"/>
      <c r="D52" s="457"/>
      <c r="E52" s="422">
        <f>SUM(E40:E51)</f>
        <v>120500</v>
      </c>
      <c r="F52" s="422">
        <f>SUM(F40:F51)</f>
        <v>116600</v>
      </c>
      <c r="G52" s="422">
        <f>SUM(G40:G51)</f>
        <v>117700</v>
      </c>
      <c r="H52" s="422">
        <f>SUM(H40:H51)</f>
        <v>80130</v>
      </c>
      <c r="I52" s="422">
        <f>SUM(I40:I51)</f>
        <v>112692</v>
      </c>
      <c r="J52" s="123"/>
      <c r="K52" s="127"/>
      <c r="L52" s="127"/>
    </row>
    <row r="53" spans="1:14" x14ac:dyDescent="0.25">
      <c r="A53" s="231"/>
      <c r="B53" s="459"/>
      <c r="C53" s="459"/>
      <c r="D53" s="459"/>
      <c r="E53" s="425"/>
      <c r="F53" s="425"/>
      <c r="G53" s="425"/>
      <c r="H53" s="425"/>
      <c r="I53" s="426"/>
    </row>
    <row r="54" spans="1:14" s="3" customFormat="1" ht="16.5" thickBot="1" x14ac:dyDescent="0.3">
      <c r="A54" s="237" t="s">
        <v>389</v>
      </c>
      <c r="B54" s="460"/>
      <c r="C54" s="460"/>
      <c r="D54" s="460"/>
      <c r="E54" s="427">
        <f>E27+E37+E52</f>
        <v>905690</v>
      </c>
      <c r="F54" s="427">
        <f>F27+F37+F52</f>
        <v>879366</v>
      </c>
      <c r="G54" s="427">
        <f>G27+G37+G52</f>
        <v>808779</v>
      </c>
      <c r="H54" s="427">
        <f>H27+H37+H52</f>
        <v>792733</v>
      </c>
      <c r="I54" s="427">
        <f>I27+I37+I52</f>
        <v>892280</v>
      </c>
      <c r="J54" s="123"/>
      <c r="K54" s="127"/>
      <c r="L54" s="127"/>
    </row>
    <row r="55" spans="1:14" ht="16.5" thickTop="1" x14ac:dyDescent="0.25">
      <c r="A55" s="234"/>
      <c r="B55" s="461"/>
      <c r="C55" s="461"/>
      <c r="D55" s="461"/>
      <c r="E55" s="428"/>
      <c r="F55" s="428"/>
      <c r="G55" s="428"/>
      <c r="H55" s="428"/>
      <c r="I55" s="429"/>
    </row>
    <row r="56" spans="1:14" x14ac:dyDescent="0.25">
      <c r="A56" s="179"/>
      <c r="B56" s="445"/>
      <c r="C56" s="445"/>
      <c r="D56" s="445"/>
      <c r="E56" s="410"/>
      <c r="F56" s="410"/>
      <c r="G56" s="410"/>
      <c r="H56" s="410"/>
      <c r="I56" s="417"/>
    </row>
    <row r="57" spans="1:14" ht="18.75" x14ac:dyDescent="0.3">
      <c r="A57" s="239" t="s">
        <v>29</v>
      </c>
      <c r="B57" s="413"/>
      <c r="C57" s="445"/>
      <c r="D57" s="445"/>
      <c r="E57" s="410"/>
      <c r="F57" s="410"/>
      <c r="G57" s="410"/>
      <c r="H57" s="410"/>
      <c r="I57" s="417"/>
    </row>
    <row r="58" spans="1:14" x14ac:dyDescent="0.25">
      <c r="A58" s="179"/>
      <c r="B58" s="445"/>
      <c r="C58" s="445"/>
      <c r="D58" s="445"/>
      <c r="E58" s="410"/>
      <c r="F58" s="410"/>
      <c r="G58" s="410"/>
      <c r="H58" s="410"/>
      <c r="I58" s="417"/>
    </row>
    <row r="59" spans="1:14" x14ac:dyDescent="0.25">
      <c r="A59" s="190" t="s">
        <v>1306</v>
      </c>
      <c r="B59" s="457"/>
      <c r="C59" s="445"/>
      <c r="D59" s="445"/>
      <c r="E59" s="410"/>
      <c r="F59" s="410"/>
      <c r="G59" s="410"/>
      <c r="H59" s="410"/>
      <c r="I59" s="417"/>
    </row>
    <row r="60" spans="1:14" x14ac:dyDescent="0.25">
      <c r="A60" s="179"/>
      <c r="B60" s="445"/>
      <c r="C60" s="445"/>
      <c r="D60" s="445"/>
      <c r="E60" s="410"/>
      <c r="F60" s="410"/>
      <c r="G60" s="410"/>
      <c r="H60" s="410"/>
      <c r="I60" s="417"/>
    </row>
    <row r="61" spans="1:14" x14ac:dyDescent="0.25">
      <c r="A61" s="179" t="s">
        <v>83</v>
      </c>
      <c r="B61" s="445"/>
      <c r="C61" s="445" t="s">
        <v>369</v>
      </c>
      <c r="D61" s="445"/>
      <c r="E61" s="410">
        <v>4000</v>
      </c>
      <c r="F61" s="410">
        <v>4000</v>
      </c>
      <c r="G61" s="410">
        <v>3800</v>
      </c>
      <c r="H61" s="410">
        <v>850</v>
      </c>
      <c r="I61" s="417">
        <v>4698</v>
      </c>
      <c r="K61" s="126">
        <v>5351</v>
      </c>
      <c r="L61" s="126">
        <v>5353</v>
      </c>
    </row>
    <row r="62" spans="1:14" x14ac:dyDescent="0.25">
      <c r="A62" s="179" t="s">
        <v>1898</v>
      </c>
      <c r="B62" s="445"/>
      <c r="C62" s="445">
        <v>5376</v>
      </c>
      <c r="D62" s="445"/>
      <c r="E62" s="410">
        <v>1500</v>
      </c>
      <c r="F62" s="418">
        <v>1500</v>
      </c>
      <c r="G62" s="410">
        <v>1500</v>
      </c>
      <c r="H62" s="410">
        <v>0</v>
      </c>
      <c r="I62" s="417">
        <v>626</v>
      </c>
      <c r="K62" s="126" t="s">
        <v>1299</v>
      </c>
    </row>
    <row r="63" spans="1:14" x14ac:dyDescent="0.25">
      <c r="A63" s="179" t="s">
        <v>1297</v>
      </c>
      <c r="B63" s="445"/>
      <c r="C63" s="445">
        <v>5355</v>
      </c>
      <c r="D63" s="445"/>
      <c r="E63" s="410">
        <v>1000</v>
      </c>
      <c r="F63" s="410">
        <v>1000</v>
      </c>
      <c r="G63" s="410">
        <v>1500</v>
      </c>
      <c r="H63" s="410">
        <v>330</v>
      </c>
      <c r="I63" s="417">
        <v>1500</v>
      </c>
      <c r="K63" s="126">
        <v>5355</v>
      </c>
    </row>
    <row r="64" spans="1:14" x14ac:dyDescent="0.25">
      <c r="A64" s="179" t="s">
        <v>84</v>
      </c>
      <c r="B64" s="445"/>
      <c r="C64" s="445" t="s">
        <v>369</v>
      </c>
      <c r="D64" s="445"/>
      <c r="E64" s="410">
        <v>6500</v>
      </c>
      <c r="F64" s="410">
        <v>7200</v>
      </c>
      <c r="G64" s="410">
        <v>6200</v>
      </c>
      <c r="H64" s="410">
        <v>5700</v>
      </c>
      <c r="I64" s="417">
        <v>6000</v>
      </c>
      <c r="K64" s="141" t="s">
        <v>489</v>
      </c>
      <c r="L64" s="141" t="s">
        <v>524</v>
      </c>
      <c r="M64" s="141" t="s">
        <v>1030</v>
      </c>
    </row>
    <row r="65" spans="1:17" x14ac:dyDescent="0.25">
      <c r="A65" s="179" t="s">
        <v>1300</v>
      </c>
      <c r="B65" s="445"/>
      <c r="C65" s="445">
        <v>5375</v>
      </c>
      <c r="D65" s="445"/>
      <c r="E65" s="410">
        <v>2000</v>
      </c>
      <c r="F65" s="410">
        <v>2000</v>
      </c>
      <c r="G65" s="410">
        <v>3000</v>
      </c>
      <c r="H65" s="410">
        <v>1780</v>
      </c>
      <c r="I65" s="417">
        <v>1833</v>
      </c>
      <c r="K65" s="126" t="s">
        <v>1363</v>
      </c>
      <c r="L65" s="126" t="s">
        <v>1364</v>
      </c>
    </row>
    <row r="66" spans="1:17" x14ac:dyDescent="0.25">
      <c r="A66" s="179" t="s">
        <v>1245</v>
      </c>
      <c r="B66" s="445"/>
      <c r="C66" s="445">
        <v>5381</v>
      </c>
      <c r="D66" s="445"/>
      <c r="E66" s="418">
        <v>5000</v>
      </c>
      <c r="F66" s="410">
        <v>0</v>
      </c>
      <c r="G66" s="410">
        <v>0</v>
      </c>
      <c r="H66" s="410">
        <v>0</v>
      </c>
      <c r="I66" s="417">
        <v>0</v>
      </c>
    </row>
    <row r="67" spans="1:17" x14ac:dyDescent="0.25">
      <c r="A67" s="179" t="s">
        <v>70</v>
      </c>
      <c r="B67" s="445"/>
      <c r="C67" s="445">
        <v>5367</v>
      </c>
      <c r="D67" s="445"/>
      <c r="E67" s="410">
        <v>17300</v>
      </c>
      <c r="F67" s="410">
        <v>17300</v>
      </c>
      <c r="G67" s="410">
        <v>16000</v>
      </c>
      <c r="H67" s="410">
        <v>14850</v>
      </c>
      <c r="I67" s="417">
        <v>16821</v>
      </c>
      <c r="K67" s="126">
        <v>197.06</v>
      </c>
      <c r="L67" s="126">
        <v>252.08</v>
      </c>
      <c r="M67">
        <f>K67*6+L67</f>
        <v>1434.44</v>
      </c>
      <c r="N67">
        <f>M67*12</f>
        <v>17213.28</v>
      </c>
    </row>
    <row r="68" spans="1:17" x14ac:dyDescent="0.25">
      <c r="A68" s="179" t="s">
        <v>44</v>
      </c>
      <c r="B68" s="445"/>
      <c r="C68" s="445">
        <v>5357</v>
      </c>
      <c r="D68" s="445"/>
      <c r="E68" s="410">
        <f>4500*1.2</f>
        <v>5400</v>
      </c>
      <c r="F68" s="410">
        <v>3500</v>
      </c>
      <c r="G68" s="410">
        <v>9000</v>
      </c>
      <c r="H68" s="410">
        <v>1253</v>
      </c>
      <c r="I68" s="417">
        <v>1263</v>
      </c>
      <c r="L68" s="126" t="s">
        <v>1362</v>
      </c>
    </row>
    <row r="69" spans="1:17" x14ac:dyDescent="0.25">
      <c r="A69" s="179" t="s">
        <v>1404</v>
      </c>
      <c r="B69" s="445"/>
      <c r="C69" s="445">
        <v>5337</v>
      </c>
      <c r="D69" s="445"/>
      <c r="E69" s="410">
        <v>1500</v>
      </c>
      <c r="F69" s="410">
        <v>2000</v>
      </c>
      <c r="G69" s="410">
        <v>2000</v>
      </c>
      <c r="H69" s="410">
        <v>1900</v>
      </c>
      <c r="I69" s="417">
        <v>2582</v>
      </c>
    </row>
    <row r="70" spans="1:17" x14ac:dyDescent="0.25">
      <c r="A70" s="179" t="s">
        <v>1296</v>
      </c>
      <c r="B70" s="445"/>
      <c r="C70" s="445">
        <v>5339</v>
      </c>
      <c r="D70" s="445"/>
      <c r="E70" s="410">
        <v>2200</v>
      </c>
      <c r="F70" s="410">
        <v>1600</v>
      </c>
      <c r="G70" s="410">
        <v>1600</v>
      </c>
      <c r="H70" s="410">
        <v>1300</v>
      </c>
      <c r="I70" s="420">
        <v>8732</v>
      </c>
      <c r="K70" s="126" t="s">
        <v>1360</v>
      </c>
    </row>
    <row r="71" spans="1:17" x14ac:dyDescent="0.25">
      <c r="A71" s="179" t="s">
        <v>1295</v>
      </c>
      <c r="B71" s="445"/>
      <c r="C71" s="445"/>
      <c r="D71" s="445"/>
      <c r="E71" s="410">
        <v>500</v>
      </c>
      <c r="F71" s="410">
        <v>500</v>
      </c>
      <c r="G71" s="430">
        <v>2000</v>
      </c>
      <c r="H71" s="410">
        <v>500</v>
      </c>
      <c r="I71" s="417">
        <v>509</v>
      </c>
      <c r="K71" s="126">
        <v>4049</v>
      </c>
    </row>
    <row r="72" spans="1:17" x14ac:dyDescent="0.25">
      <c r="A72" s="179" t="s">
        <v>79</v>
      </c>
      <c r="B72" s="445"/>
      <c r="C72" s="445" t="s">
        <v>369</v>
      </c>
      <c r="D72" s="445"/>
      <c r="E72" s="410">
        <v>9500</v>
      </c>
      <c r="F72" s="410">
        <v>8500</v>
      </c>
      <c r="G72" s="410">
        <v>7000</v>
      </c>
      <c r="H72" s="410">
        <v>7100</v>
      </c>
      <c r="I72" s="417">
        <v>7306</v>
      </c>
      <c r="K72" s="126">
        <v>5361</v>
      </c>
      <c r="L72" s="126">
        <v>5362</v>
      </c>
      <c r="M72">
        <v>5364</v>
      </c>
      <c r="N72" t="s">
        <v>1366</v>
      </c>
    </row>
    <row r="73" spans="1:17" x14ac:dyDescent="0.25">
      <c r="A73" s="179" t="s">
        <v>1365</v>
      </c>
      <c r="B73" s="445"/>
      <c r="C73" s="445">
        <v>5372</v>
      </c>
      <c r="D73" s="445"/>
      <c r="E73" s="410">
        <v>6500</v>
      </c>
      <c r="F73" s="410">
        <v>5000</v>
      </c>
      <c r="G73" s="410"/>
      <c r="H73" s="410">
        <v>4800</v>
      </c>
      <c r="I73" s="417">
        <v>3355</v>
      </c>
      <c r="K73" s="126">
        <v>5372</v>
      </c>
      <c r="L73" s="126">
        <v>5378</v>
      </c>
    </row>
    <row r="74" spans="1:17" x14ac:dyDescent="0.25">
      <c r="A74" s="179" t="s">
        <v>76</v>
      </c>
      <c r="B74" s="445"/>
      <c r="C74" s="445">
        <v>5350</v>
      </c>
      <c r="D74" s="445"/>
      <c r="E74" s="410">
        <v>11500</v>
      </c>
      <c r="F74" s="410">
        <v>11500</v>
      </c>
      <c r="G74" s="410">
        <v>11000</v>
      </c>
      <c r="H74" s="410">
        <v>10956</v>
      </c>
      <c r="I74" s="417">
        <v>10956</v>
      </c>
      <c r="K74" s="389" t="s">
        <v>1881</v>
      </c>
    </row>
    <row r="75" spans="1:17" x14ac:dyDescent="0.25">
      <c r="A75" s="179" t="s">
        <v>1298</v>
      </c>
      <c r="B75" s="445"/>
      <c r="C75" s="445">
        <v>5346</v>
      </c>
      <c r="D75" s="445"/>
      <c r="E75" s="410">
        <v>4000</v>
      </c>
      <c r="F75" s="410">
        <v>3700</v>
      </c>
      <c r="G75" s="410"/>
      <c r="H75" s="410">
        <v>3600</v>
      </c>
      <c r="I75" s="417">
        <v>3628</v>
      </c>
      <c r="K75" s="126" t="s">
        <v>55</v>
      </c>
      <c r="L75" s="160" t="s">
        <v>1882</v>
      </c>
    </row>
    <row r="76" spans="1:17" x14ac:dyDescent="0.25">
      <c r="A76" s="179" t="s">
        <v>63</v>
      </c>
      <c r="B76" s="445"/>
      <c r="C76" s="445" t="s">
        <v>369</v>
      </c>
      <c r="D76" s="445"/>
      <c r="E76" s="418">
        <f>73800+47500+47500+3000</f>
        <v>171800</v>
      </c>
      <c r="F76" s="410">
        <f>65000+36000+36000+2800</f>
        <v>139800</v>
      </c>
      <c r="G76" s="410">
        <v>169300</v>
      </c>
      <c r="H76" s="410">
        <f>117250-2200-1800</f>
        <v>113250</v>
      </c>
      <c r="I76" s="417">
        <f>40928+28909+28909+2333+1988+1098</f>
        <v>104165</v>
      </c>
      <c r="K76" s="126">
        <v>5305</v>
      </c>
      <c r="L76" s="126">
        <v>5309</v>
      </c>
      <c r="M76">
        <v>5314</v>
      </c>
      <c r="N76">
        <v>5319</v>
      </c>
      <c r="O76">
        <v>5396</v>
      </c>
      <c r="Q76" t="s">
        <v>1374</v>
      </c>
    </row>
    <row r="77" spans="1:17" x14ac:dyDescent="0.25">
      <c r="A77" s="179" t="s">
        <v>72</v>
      </c>
      <c r="B77" s="445"/>
      <c r="C77" s="445"/>
      <c r="D77" s="445"/>
      <c r="E77" s="410">
        <v>5000</v>
      </c>
      <c r="F77" s="410">
        <v>4200</v>
      </c>
      <c r="G77" s="410">
        <v>4900</v>
      </c>
      <c r="H77" s="410">
        <v>4200</v>
      </c>
      <c r="I77" s="417">
        <v>4190</v>
      </c>
    </row>
    <row r="78" spans="1:17" x14ac:dyDescent="0.25">
      <c r="A78" s="179" t="s">
        <v>1414</v>
      </c>
      <c r="B78" s="445"/>
      <c r="C78" s="445"/>
      <c r="D78" s="445"/>
      <c r="E78" s="410">
        <v>0</v>
      </c>
      <c r="F78" s="410">
        <v>45000</v>
      </c>
      <c r="G78" s="410">
        <v>0</v>
      </c>
      <c r="H78" s="410">
        <v>0</v>
      </c>
      <c r="I78" s="417">
        <v>0</v>
      </c>
    </row>
    <row r="79" spans="1:17" x14ac:dyDescent="0.25">
      <c r="A79" s="194" t="s">
        <v>1318</v>
      </c>
      <c r="B79" s="462"/>
      <c r="C79" s="445"/>
      <c r="D79" s="445"/>
      <c r="E79" s="431">
        <f>SUM(E61:E78)</f>
        <v>255200</v>
      </c>
      <c r="F79" s="431">
        <f>SUM(F61:F78)</f>
        <v>258300</v>
      </c>
      <c r="G79" s="431">
        <f>SUM(G61:G78)</f>
        <v>238800</v>
      </c>
      <c r="H79" s="431">
        <f>SUM(H61:H78)</f>
        <v>172369</v>
      </c>
      <c r="I79" s="431">
        <f>SUM(I61:I78)</f>
        <v>178164</v>
      </c>
    </row>
    <row r="80" spans="1:17" x14ac:dyDescent="0.25">
      <c r="A80" s="196" t="s">
        <v>78</v>
      </c>
      <c r="B80" s="463"/>
      <c r="C80" s="445"/>
      <c r="D80" s="445"/>
      <c r="E80" s="432">
        <v>120000</v>
      </c>
      <c r="F80" s="432">
        <v>110000</v>
      </c>
      <c r="G80" s="433">
        <v>101800</v>
      </c>
      <c r="H80" s="432">
        <v>100000</v>
      </c>
      <c r="I80" s="434">
        <v>121750</v>
      </c>
    </row>
    <row r="81" spans="1:15" x14ac:dyDescent="0.25">
      <c r="A81" s="197" t="s">
        <v>20</v>
      </c>
      <c r="B81" s="464"/>
      <c r="C81" s="445"/>
      <c r="D81" s="445"/>
      <c r="E81" s="422">
        <f t="shared" ref="E81:F81" si="1">E79-E80</f>
        <v>135200</v>
      </c>
      <c r="F81" s="422">
        <f t="shared" si="1"/>
        <v>148300</v>
      </c>
      <c r="G81" s="422">
        <f t="shared" ref="G81:H81" si="2">G79-G80</f>
        <v>137000</v>
      </c>
      <c r="H81" s="422">
        <f t="shared" si="2"/>
        <v>72369</v>
      </c>
      <c r="I81" s="422">
        <f>I79-I80</f>
        <v>56414</v>
      </c>
    </row>
    <row r="82" spans="1:15" x14ac:dyDescent="0.25">
      <c r="A82" s="179"/>
      <c r="B82" s="445"/>
      <c r="C82" s="445"/>
      <c r="D82" s="445"/>
      <c r="E82" s="410"/>
      <c r="F82" s="410"/>
      <c r="G82" s="410"/>
      <c r="H82" s="410"/>
      <c r="I82" s="417"/>
    </row>
    <row r="83" spans="1:15" x14ac:dyDescent="0.25">
      <c r="A83" s="190" t="s">
        <v>1317</v>
      </c>
      <c r="B83" s="457"/>
      <c r="C83" s="445"/>
      <c r="D83" s="445"/>
      <c r="E83" s="410"/>
      <c r="F83" s="410"/>
      <c r="G83" s="410"/>
      <c r="H83" s="410"/>
      <c r="I83" s="417"/>
    </row>
    <row r="84" spans="1:15" x14ac:dyDescent="0.25">
      <c r="A84" s="190"/>
      <c r="B84" s="457"/>
      <c r="C84" s="445"/>
      <c r="D84" s="445"/>
      <c r="E84" s="410"/>
      <c r="F84" s="410"/>
      <c r="G84" s="410"/>
      <c r="H84" s="410"/>
      <c r="I84" s="417"/>
    </row>
    <row r="85" spans="1:15" x14ac:dyDescent="0.25">
      <c r="A85" s="179" t="s">
        <v>1322</v>
      </c>
      <c r="B85" s="445"/>
      <c r="C85" s="445">
        <v>5004</v>
      </c>
      <c r="D85" s="445"/>
      <c r="E85" s="410">
        <v>105000</v>
      </c>
      <c r="F85" s="410">
        <v>145753</v>
      </c>
      <c r="G85" s="410">
        <v>139500</v>
      </c>
      <c r="H85" s="410">
        <v>141508</v>
      </c>
      <c r="I85" s="417">
        <v>138000</v>
      </c>
      <c r="K85" s="166">
        <v>0.03</v>
      </c>
    </row>
    <row r="86" spans="1:15" x14ac:dyDescent="0.25">
      <c r="A86" s="197" t="s">
        <v>20</v>
      </c>
      <c r="B86" s="464"/>
      <c r="C86" s="445"/>
      <c r="D86" s="445"/>
      <c r="E86" s="422">
        <f t="shared" ref="E86:F86" si="3">E85</f>
        <v>105000</v>
      </c>
      <c r="F86" s="422">
        <f t="shared" si="3"/>
        <v>145753</v>
      </c>
      <c r="G86" s="422">
        <f t="shared" ref="G86:H86" si="4">G85</f>
        <v>139500</v>
      </c>
      <c r="H86" s="422">
        <f t="shared" si="4"/>
        <v>141508</v>
      </c>
      <c r="I86" s="422">
        <f>I85</f>
        <v>138000</v>
      </c>
    </row>
    <row r="87" spans="1:15" x14ac:dyDescent="0.25">
      <c r="A87" s="179"/>
      <c r="B87" s="445"/>
      <c r="C87" s="445"/>
      <c r="D87" s="445"/>
      <c r="E87" s="410"/>
      <c r="F87" s="410"/>
      <c r="G87" s="410"/>
      <c r="H87" s="410"/>
      <c r="I87" s="417"/>
    </row>
    <row r="88" spans="1:15" x14ac:dyDescent="0.25">
      <c r="A88" s="179"/>
      <c r="B88" s="445"/>
      <c r="C88" s="445"/>
      <c r="D88" s="445"/>
      <c r="E88" s="410"/>
      <c r="F88" s="410"/>
      <c r="G88" s="410"/>
      <c r="H88" s="410"/>
      <c r="I88" s="417"/>
    </row>
    <row r="89" spans="1:15" x14ac:dyDescent="0.25">
      <c r="A89" s="190" t="s">
        <v>30</v>
      </c>
      <c r="B89" s="457"/>
      <c r="C89" s="445"/>
      <c r="D89" s="445"/>
      <c r="E89" s="410"/>
      <c r="F89" s="410"/>
      <c r="G89" s="410"/>
      <c r="H89" s="410"/>
      <c r="I89" s="417"/>
    </row>
    <row r="90" spans="1:15" x14ac:dyDescent="0.25">
      <c r="A90" s="190"/>
      <c r="B90" s="457"/>
      <c r="C90" s="445"/>
      <c r="D90" s="445"/>
      <c r="E90" s="410"/>
      <c r="F90" s="410"/>
      <c r="G90" s="410"/>
      <c r="H90" s="410"/>
      <c r="I90" s="417"/>
    </row>
    <row r="91" spans="1:15" x14ac:dyDescent="0.25">
      <c r="A91" s="179" t="s">
        <v>223</v>
      </c>
      <c r="B91" s="445"/>
      <c r="C91" s="445" t="s">
        <v>369</v>
      </c>
      <c r="D91" s="445"/>
      <c r="E91" s="410">
        <v>17000</v>
      </c>
      <c r="F91" s="410">
        <v>13500</v>
      </c>
      <c r="G91" s="410">
        <v>13500</v>
      </c>
      <c r="H91" s="410">
        <v>13500</v>
      </c>
      <c r="I91" s="417">
        <v>15737</v>
      </c>
      <c r="K91" s="126">
        <v>5289</v>
      </c>
      <c r="L91" s="126">
        <v>5242</v>
      </c>
      <c r="M91" t="s">
        <v>1341</v>
      </c>
    </row>
    <row r="92" spans="1:15" x14ac:dyDescent="0.25">
      <c r="A92" s="179" t="s">
        <v>1394</v>
      </c>
      <c r="B92" s="445"/>
      <c r="C92" s="445"/>
      <c r="D92" s="445"/>
      <c r="E92" s="410">
        <v>2400</v>
      </c>
      <c r="F92" s="410">
        <v>2400</v>
      </c>
      <c r="G92" s="410">
        <v>0</v>
      </c>
      <c r="H92" s="410">
        <v>2200</v>
      </c>
      <c r="I92" s="417">
        <v>0</v>
      </c>
    </row>
    <row r="93" spans="1:15" x14ac:dyDescent="0.25">
      <c r="A93" s="179" t="s">
        <v>71</v>
      </c>
      <c r="B93" s="445"/>
      <c r="C93" s="445" t="s">
        <v>369</v>
      </c>
      <c r="D93" s="445"/>
      <c r="E93" s="410">
        <v>4500</v>
      </c>
      <c r="F93" s="410">
        <v>4500</v>
      </c>
      <c r="G93" s="410">
        <v>4500</v>
      </c>
      <c r="H93" s="410">
        <f>3565+1550</f>
        <v>5115</v>
      </c>
      <c r="I93" s="417">
        <v>2148</v>
      </c>
      <c r="K93" s="126">
        <v>5202</v>
      </c>
      <c r="L93" s="126">
        <v>5253</v>
      </c>
      <c r="M93" t="s">
        <v>1883</v>
      </c>
    </row>
    <row r="94" spans="1:15" x14ac:dyDescent="0.25">
      <c r="A94" s="179" t="s">
        <v>222</v>
      </c>
      <c r="B94" s="445"/>
      <c r="C94" s="445" t="s">
        <v>369</v>
      </c>
      <c r="D94" s="445"/>
      <c r="E94" s="410">
        <v>7000</v>
      </c>
      <c r="F94" s="410">
        <v>6500</v>
      </c>
      <c r="G94" s="410">
        <v>6500</v>
      </c>
      <c r="H94" s="410">
        <v>8035</v>
      </c>
      <c r="I94" s="417">
        <v>4181</v>
      </c>
      <c r="K94" s="126">
        <v>5233</v>
      </c>
      <c r="L94" s="126">
        <v>5236</v>
      </c>
      <c r="M94">
        <v>5239</v>
      </c>
      <c r="N94">
        <v>5271</v>
      </c>
    </row>
    <row r="95" spans="1:15" x14ac:dyDescent="0.25">
      <c r="A95" s="179" t="s">
        <v>70</v>
      </c>
      <c r="B95" s="445"/>
      <c r="C95" s="445">
        <v>5203</v>
      </c>
      <c r="D95" s="445"/>
      <c r="E95" s="410">
        <v>7500</v>
      </c>
      <c r="F95" s="410">
        <v>6400</v>
      </c>
      <c r="G95" s="410">
        <v>6000</v>
      </c>
      <c r="H95" s="410">
        <v>5200</v>
      </c>
      <c r="I95" s="417">
        <v>9350</v>
      </c>
      <c r="K95" s="122" t="s">
        <v>226</v>
      </c>
    </row>
    <row r="96" spans="1:15" x14ac:dyDescent="0.25">
      <c r="A96" s="179" t="s">
        <v>44</v>
      </c>
      <c r="B96" s="445"/>
      <c r="C96" s="445" t="s">
        <v>369</v>
      </c>
      <c r="D96" s="445"/>
      <c r="E96" s="410">
        <f>6000*1.2</f>
        <v>7200</v>
      </c>
      <c r="F96" s="410">
        <v>7763</v>
      </c>
      <c r="G96" s="410">
        <v>8000</v>
      </c>
      <c r="H96" s="410">
        <v>8445</v>
      </c>
      <c r="I96" s="417">
        <v>7059</v>
      </c>
      <c r="K96" s="126">
        <v>5256</v>
      </c>
      <c r="L96" s="126">
        <v>5259</v>
      </c>
      <c r="M96">
        <v>5262</v>
      </c>
      <c r="N96" s="388" t="s">
        <v>1878</v>
      </c>
      <c r="O96" t="s">
        <v>1335</v>
      </c>
    </row>
    <row r="97" spans="1:17" x14ac:dyDescent="0.25">
      <c r="A97" s="179" t="s">
        <v>69</v>
      </c>
      <c r="B97" s="445"/>
      <c r="C97" s="445">
        <v>5224</v>
      </c>
      <c r="D97" s="445"/>
      <c r="E97" s="410">
        <v>4000</v>
      </c>
      <c r="F97" s="410">
        <v>4000</v>
      </c>
      <c r="G97" s="418">
        <v>7500</v>
      </c>
      <c r="H97" s="410">
        <v>4700</v>
      </c>
      <c r="I97" s="417">
        <v>7730</v>
      </c>
      <c r="O97" t="s">
        <v>1350</v>
      </c>
    </row>
    <row r="98" spans="1:17" x14ac:dyDescent="0.25">
      <c r="A98" s="179" t="s">
        <v>74</v>
      </c>
      <c r="B98" s="445"/>
      <c r="C98" s="445" t="s">
        <v>369</v>
      </c>
      <c r="D98" s="445"/>
      <c r="E98" s="410">
        <v>500</v>
      </c>
      <c r="F98" s="410">
        <v>500</v>
      </c>
      <c r="G98" s="421">
        <v>250</v>
      </c>
      <c r="H98" s="410">
        <v>300</v>
      </c>
      <c r="I98" s="417">
        <v>180</v>
      </c>
      <c r="K98" s="126">
        <v>5247</v>
      </c>
      <c r="L98" s="126">
        <v>5265</v>
      </c>
      <c r="M98">
        <v>5286</v>
      </c>
    </row>
    <row r="99" spans="1:17" x14ac:dyDescent="0.25">
      <c r="A99" s="179" t="s">
        <v>1333</v>
      </c>
      <c r="B99" s="445"/>
      <c r="C99" s="445">
        <v>5242</v>
      </c>
      <c r="D99" s="445"/>
      <c r="E99" s="410">
        <v>3800</v>
      </c>
      <c r="F99" s="410">
        <v>3610</v>
      </c>
      <c r="G99" s="421">
        <v>2500</v>
      </c>
      <c r="H99" s="410">
        <v>3628</v>
      </c>
      <c r="I99" s="417">
        <v>3628</v>
      </c>
    </row>
    <row r="100" spans="1:17" x14ac:dyDescent="0.25">
      <c r="A100" s="179" t="s">
        <v>73</v>
      </c>
      <c r="B100" s="445"/>
      <c r="C100" s="445" t="s">
        <v>369</v>
      </c>
      <c r="D100" s="445"/>
      <c r="E100" s="410">
        <v>3000</v>
      </c>
      <c r="F100" s="410">
        <v>3000</v>
      </c>
      <c r="G100" s="410">
        <v>4500</v>
      </c>
      <c r="H100" s="410">
        <v>200</v>
      </c>
      <c r="I100" s="417">
        <v>2866</v>
      </c>
      <c r="K100" s="126">
        <v>5218</v>
      </c>
      <c r="L100" s="126">
        <v>5268</v>
      </c>
    </row>
    <row r="101" spans="1:17" x14ac:dyDescent="0.25">
      <c r="A101" s="179" t="s">
        <v>72</v>
      </c>
      <c r="B101" s="445"/>
      <c r="C101" s="445" t="s">
        <v>369</v>
      </c>
      <c r="D101" s="445"/>
      <c r="E101" s="410">
        <v>6500</v>
      </c>
      <c r="F101" s="410">
        <v>6520</v>
      </c>
      <c r="G101" s="410">
        <v>7200</v>
      </c>
      <c r="H101" s="410">
        <v>6416</v>
      </c>
      <c r="I101" s="417">
        <v>4712</v>
      </c>
      <c r="K101" s="126">
        <v>5206</v>
      </c>
      <c r="L101" s="126">
        <v>5209</v>
      </c>
      <c r="M101">
        <v>5215</v>
      </c>
      <c r="N101">
        <v>5216</v>
      </c>
      <c r="O101">
        <v>1100</v>
      </c>
      <c r="P101">
        <v>3200</v>
      </c>
      <c r="Q101">
        <v>1500</v>
      </c>
    </row>
    <row r="102" spans="1:17" x14ac:dyDescent="0.25">
      <c r="A102" s="179" t="s">
        <v>224</v>
      </c>
      <c r="B102" s="445"/>
      <c r="C102" s="445">
        <v>5291</v>
      </c>
      <c r="D102" s="445"/>
      <c r="E102" s="418">
        <v>38000</v>
      </c>
      <c r="F102" s="410">
        <v>38000</v>
      </c>
      <c r="G102" s="410">
        <v>38000</v>
      </c>
      <c r="H102" s="410">
        <v>38000</v>
      </c>
      <c r="I102" s="417">
        <v>38000</v>
      </c>
      <c r="K102" s="122" t="s">
        <v>225</v>
      </c>
    </row>
    <row r="103" spans="1:17" x14ac:dyDescent="0.25">
      <c r="A103" s="197" t="s">
        <v>75</v>
      </c>
      <c r="B103" s="464"/>
      <c r="C103" s="457"/>
      <c r="D103" s="457"/>
      <c r="E103" s="422">
        <f t="shared" ref="E103:F103" si="5">SUM(E91:E102)</f>
        <v>101400</v>
      </c>
      <c r="F103" s="422">
        <f t="shared" si="5"/>
        <v>96693</v>
      </c>
      <c r="G103" s="422">
        <f t="shared" ref="G103:H103" si="6">SUM(G91:G102)</f>
        <v>98450</v>
      </c>
      <c r="H103" s="422">
        <f t="shared" si="6"/>
        <v>95739</v>
      </c>
      <c r="I103" s="422">
        <f>SUM(I91:I102)</f>
        <v>95591</v>
      </c>
    </row>
    <row r="104" spans="1:17" x14ac:dyDescent="0.25">
      <c r="A104" s="179"/>
      <c r="B104" s="445"/>
      <c r="C104" s="445"/>
      <c r="D104" s="445"/>
      <c r="E104" s="410"/>
      <c r="F104" s="410"/>
      <c r="G104" s="410"/>
      <c r="H104" s="410"/>
      <c r="I104" s="417"/>
      <c r="K104" s="126">
        <f>E103-E102</f>
        <v>63400</v>
      </c>
      <c r="L104" s="126">
        <f>27000</f>
        <v>27000</v>
      </c>
      <c r="M104" t="s">
        <v>1908</v>
      </c>
    </row>
    <row r="105" spans="1:17" x14ac:dyDescent="0.25">
      <c r="A105" s="190" t="s">
        <v>32</v>
      </c>
      <c r="B105" s="457"/>
      <c r="C105" s="445"/>
      <c r="D105" s="445"/>
      <c r="E105" s="410"/>
      <c r="F105" s="410"/>
      <c r="G105" s="410"/>
      <c r="H105" s="410"/>
      <c r="I105" s="417"/>
    </row>
    <row r="106" spans="1:17" x14ac:dyDescent="0.25">
      <c r="A106" s="190" t="s">
        <v>1373</v>
      </c>
      <c r="B106" s="457"/>
      <c r="C106" s="445"/>
      <c r="D106" s="445"/>
      <c r="E106" s="410">
        <v>14000</v>
      </c>
      <c r="F106" s="410">
        <v>7500</v>
      </c>
      <c r="G106" s="410">
        <v>7000</v>
      </c>
      <c r="H106" s="410">
        <v>7000</v>
      </c>
      <c r="I106" s="417">
        <v>7000</v>
      </c>
    </row>
    <row r="107" spans="1:17" x14ac:dyDescent="0.25">
      <c r="A107" s="179" t="s">
        <v>37</v>
      </c>
      <c r="B107" s="445"/>
      <c r="C107" s="445">
        <v>5909</v>
      </c>
      <c r="D107" s="445"/>
      <c r="E107" s="410">
        <v>60000</v>
      </c>
      <c r="F107" s="410">
        <v>55000</v>
      </c>
      <c r="G107" s="410">
        <v>36000</v>
      </c>
      <c r="H107" s="410">
        <v>54000</v>
      </c>
      <c r="I107" s="420">
        <v>28342</v>
      </c>
      <c r="L107" s="126" t="s">
        <v>1342</v>
      </c>
    </row>
    <row r="108" spans="1:17" x14ac:dyDescent="0.25">
      <c r="A108" s="179" t="s">
        <v>34</v>
      </c>
      <c r="B108" s="445"/>
      <c r="C108" s="445">
        <v>5903</v>
      </c>
      <c r="D108" s="445"/>
      <c r="E108" s="410">
        <v>22000</v>
      </c>
      <c r="F108" s="410">
        <v>22000</v>
      </c>
      <c r="G108" s="410">
        <v>27000</v>
      </c>
      <c r="H108" s="410">
        <v>21000</v>
      </c>
      <c r="I108" s="417">
        <v>22235</v>
      </c>
      <c r="K108" s="166">
        <v>3.5000000000000003E-2</v>
      </c>
      <c r="L108" s="126">
        <f>1736*12</f>
        <v>20832</v>
      </c>
      <c r="M108">
        <f>L108*1.035</f>
        <v>21561.119999999999</v>
      </c>
      <c r="O108">
        <f>1736*12*1.05</f>
        <v>21873.600000000002</v>
      </c>
    </row>
    <row r="109" spans="1:17" x14ac:dyDescent="0.25">
      <c r="A109" s="179" t="s">
        <v>38</v>
      </c>
      <c r="B109" s="445"/>
      <c r="C109" s="445">
        <v>5912</v>
      </c>
      <c r="D109" s="445"/>
      <c r="E109" s="410">
        <v>1200</v>
      </c>
      <c r="F109" s="410">
        <v>600</v>
      </c>
      <c r="G109" s="410">
        <v>1000</v>
      </c>
      <c r="H109" s="410">
        <v>0</v>
      </c>
      <c r="I109" s="417">
        <v>222</v>
      </c>
    </row>
    <row r="110" spans="1:17" x14ac:dyDescent="0.25">
      <c r="A110" s="179" t="s">
        <v>35</v>
      </c>
      <c r="B110" s="445"/>
      <c r="C110" s="445"/>
      <c r="D110" s="445"/>
      <c r="E110" s="410">
        <v>3000</v>
      </c>
      <c r="F110" s="410">
        <v>3000</v>
      </c>
      <c r="G110" s="410">
        <v>5000</v>
      </c>
      <c r="H110" s="410">
        <v>0</v>
      </c>
      <c r="I110" s="417">
        <v>0</v>
      </c>
      <c r="K110" s="126" t="s">
        <v>1344</v>
      </c>
      <c r="L110" s="126" t="s">
        <v>1345</v>
      </c>
    </row>
    <row r="111" spans="1:17" x14ac:dyDescent="0.25">
      <c r="A111" s="179" t="s">
        <v>36</v>
      </c>
      <c r="B111" s="445"/>
      <c r="C111" s="445">
        <v>5915</v>
      </c>
      <c r="D111" s="445"/>
      <c r="E111" s="410">
        <v>6000</v>
      </c>
      <c r="F111" s="410">
        <v>4000</v>
      </c>
      <c r="G111" s="430">
        <v>4000</v>
      </c>
      <c r="H111" s="410">
        <v>0</v>
      </c>
      <c r="I111" s="435">
        <v>819</v>
      </c>
      <c r="K111" s="167">
        <v>5334</v>
      </c>
      <c r="L111" s="168">
        <v>5332</v>
      </c>
      <c r="M111" s="170">
        <v>5333</v>
      </c>
    </row>
    <row r="112" spans="1:17" x14ac:dyDescent="0.25">
      <c r="A112" s="179" t="s">
        <v>47</v>
      </c>
      <c r="B112" s="445"/>
      <c r="C112" s="445">
        <v>5334</v>
      </c>
      <c r="D112" s="445"/>
      <c r="E112" s="410">
        <v>8000</v>
      </c>
      <c r="F112" s="410">
        <v>8000</v>
      </c>
      <c r="G112" s="410">
        <v>5000</v>
      </c>
      <c r="H112" s="410">
        <v>15000</v>
      </c>
      <c r="I112" s="420">
        <f>68148.88-60863</f>
        <v>7285.8800000000047</v>
      </c>
      <c r="K112" s="171">
        <v>7500</v>
      </c>
      <c r="L112" s="172">
        <v>500</v>
      </c>
      <c r="M112" s="175"/>
    </row>
    <row r="113" spans="1:16" x14ac:dyDescent="0.25">
      <c r="A113" s="179" t="s">
        <v>1886</v>
      </c>
      <c r="B113" s="458" t="s">
        <v>1887</v>
      </c>
      <c r="C113" s="445"/>
      <c r="D113" s="445"/>
      <c r="E113" s="410">
        <v>4000</v>
      </c>
      <c r="F113" s="410">
        <v>0</v>
      </c>
      <c r="G113" s="410">
        <v>0</v>
      </c>
      <c r="H113" s="410">
        <v>0</v>
      </c>
      <c r="I113" s="420">
        <v>0</v>
      </c>
      <c r="K113" s="4"/>
      <c r="L113" s="4"/>
    </row>
    <row r="114" spans="1:16" x14ac:dyDescent="0.25">
      <c r="A114" s="179" t="s">
        <v>82</v>
      </c>
      <c r="B114" s="445"/>
      <c r="C114" s="445">
        <v>5348</v>
      </c>
      <c r="D114" s="445"/>
      <c r="E114" s="410">
        <v>2500</v>
      </c>
      <c r="F114" s="410">
        <v>2500</v>
      </c>
      <c r="G114" s="410">
        <v>2500</v>
      </c>
      <c r="H114" s="410">
        <v>600</v>
      </c>
      <c r="I114" s="417">
        <v>1301</v>
      </c>
      <c r="J114" s="124"/>
    </row>
    <row r="115" spans="1:16" x14ac:dyDescent="0.25">
      <c r="A115" s="188" t="s">
        <v>69</v>
      </c>
      <c r="B115" s="456"/>
      <c r="C115" s="445">
        <v>5339</v>
      </c>
      <c r="D115" s="445"/>
      <c r="E115" s="410">
        <v>0</v>
      </c>
      <c r="F115" s="410">
        <f>2100+25</f>
        <v>2125</v>
      </c>
      <c r="G115" s="421">
        <v>3800</v>
      </c>
      <c r="H115" s="410">
        <v>2740</v>
      </c>
      <c r="I115" s="436">
        <v>8732</v>
      </c>
      <c r="J115" s="124"/>
      <c r="K115" s="126" t="s">
        <v>1315</v>
      </c>
      <c r="L115" s="126">
        <v>25</v>
      </c>
      <c r="M115" t="s">
        <v>1347</v>
      </c>
      <c r="N115">
        <v>2100</v>
      </c>
    </row>
    <row r="116" spans="1:16" x14ac:dyDescent="0.25">
      <c r="A116" s="179" t="s">
        <v>1314</v>
      </c>
      <c r="B116" s="445"/>
      <c r="C116" s="445">
        <v>5760</v>
      </c>
      <c r="D116" s="445"/>
      <c r="E116" s="410">
        <v>1000</v>
      </c>
      <c r="F116" s="410">
        <v>1000</v>
      </c>
      <c r="G116" s="421">
        <v>0</v>
      </c>
      <c r="H116" s="410">
        <v>860</v>
      </c>
      <c r="I116" s="437">
        <v>1162</v>
      </c>
      <c r="J116" s="124"/>
      <c r="K116" s="126" t="s">
        <v>1361</v>
      </c>
    </row>
    <row r="117" spans="1:16" x14ac:dyDescent="0.25">
      <c r="A117" s="197" t="s">
        <v>20</v>
      </c>
      <c r="B117" s="464"/>
      <c r="C117" s="457"/>
      <c r="D117" s="457"/>
      <c r="E117" s="422">
        <f t="shared" ref="E117:F117" si="7">SUM(E106:E116)</f>
        <v>121700</v>
      </c>
      <c r="F117" s="422">
        <f t="shared" si="7"/>
        <v>105725</v>
      </c>
      <c r="G117" s="422">
        <f t="shared" ref="G117:H117" si="8">SUM(G106:G116)</f>
        <v>91300</v>
      </c>
      <c r="H117" s="422">
        <f t="shared" si="8"/>
        <v>101200</v>
      </c>
      <c r="I117" s="422">
        <f>SUM(I106:I116)</f>
        <v>77098.880000000005</v>
      </c>
    </row>
    <row r="118" spans="1:16" x14ac:dyDescent="0.25">
      <c r="A118" s="179"/>
      <c r="B118" s="445"/>
      <c r="C118" s="445"/>
      <c r="D118" s="445"/>
      <c r="E118" s="410"/>
      <c r="F118" s="410"/>
      <c r="G118" s="410"/>
      <c r="H118" s="410"/>
      <c r="I118" s="417"/>
    </row>
    <row r="119" spans="1:16" x14ac:dyDescent="0.25">
      <c r="A119" s="190" t="s">
        <v>2</v>
      </c>
      <c r="B119" s="457"/>
      <c r="C119" s="445"/>
      <c r="D119" s="445"/>
      <c r="E119" s="410"/>
      <c r="F119" s="410"/>
      <c r="G119" s="410"/>
      <c r="H119" s="410"/>
      <c r="I119" s="417"/>
    </row>
    <row r="120" spans="1:16" x14ac:dyDescent="0.25">
      <c r="A120" s="179" t="s">
        <v>63</v>
      </c>
      <c r="B120" s="445"/>
      <c r="C120" s="445" t="s">
        <v>369</v>
      </c>
      <c r="D120" s="445"/>
      <c r="E120" s="410">
        <v>110000</v>
      </c>
      <c r="F120" s="410">
        <v>70000</v>
      </c>
      <c r="G120" s="410">
        <v>54300</v>
      </c>
      <c r="H120" s="410">
        <v>81774</v>
      </c>
      <c r="I120" s="417">
        <v>98066</v>
      </c>
      <c r="K120" s="126">
        <v>5803</v>
      </c>
      <c r="L120" s="126">
        <v>5827</v>
      </c>
      <c r="M120">
        <v>5830</v>
      </c>
    </row>
    <row r="121" spans="1:16" x14ac:dyDescent="0.25">
      <c r="A121" s="179" t="s">
        <v>1309</v>
      </c>
      <c r="B121" s="445"/>
      <c r="C121" s="445">
        <v>5875</v>
      </c>
      <c r="D121" s="445"/>
      <c r="E121" s="410">
        <v>500</v>
      </c>
      <c r="F121" s="410">
        <v>600</v>
      </c>
      <c r="G121" s="410">
        <v>0</v>
      </c>
      <c r="H121" s="410">
        <v>700</v>
      </c>
      <c r="I121" s="417">
        <v>1572</v>
      </c>
    </row>
    <row r="122" spans="1:16" x14ac:dyDescent="0.25">
      <c r="A122" s="179" t="s">
        <v>64</v>
      </c>
      <c r="B122" s="445"/>
      <c r="C122" s="445" t="s">
        <v>369</v>
      </c>
      <c r="D122" s="445"/>
      <c r="E122" s="410">
        <v>5000</v>
      </c>
      <c r="F122" s="410">
        <v>7000</v>
      </c>
      <c r="G122" s="410">
        <v>7000</v>
      </c>
      <c r="H122" s="410">
        <v>575</v>
      </c>
      <c r="I122" s="417">
        <v>7758</v>
      </c>
    </row>
    <row r="123" spans="1:16" x14ac:dyDescent="0.25">
      <c r="A123" s="179" t="s">
        <v>1894</v>
      </c>
      <c r="B123" s="445"/>
      <c r="C123" s="445">
        <v>5869</v>
      </c>
      <c r="D123" s="445"/>
      <c r="E123" s="410">
        <v>10000</v>
      </c>
      <c r="F123" s="410">
        <v>0</v>
      </c>
      <c r="G123" s="410">
        <v>5000</v>
      </c>
      <c r="H123" s="410">
        <v>0</v>
      </c>
      <c r="I123" s="417">
        <f>14280+23283</f>
        <v>37563</v>
      </c>
      <c r="K123" s="126">
        <v>5869</v>
      </c>
      <c r="L123" s="126">
        <v>5899</v>
      </c>
      <c r="M123">
        <v>5896</v>
      </c>
      <c r="N123" t="s">
        <v>68</v>
      </c>
      <c r="O123" t="s">
        <v>1662</v>
      </c>
      <c r="P123" t="s">
        <v>1893</v>
      </c>
    </row>
    <row r="124" spans="1:16" x14ac:dyDescent="0.25">
      <c r="A124" s="179" t="s">
        <v>65</v>
      </c>
      <c r="B124" s="445"/>
      <c r="C124" s="445">
        <v>5893</v>
      </c>
      <c r="D124" s="445"/>
      <c r="E124" s="410">
        <v>500</v>
      </c>
      <c r="F124" s="410">
        <v>500</v>
      </c>
      <c r="G124" s="410">
        <v>1000</v>
      </c>
      <c r="H124" s="410">
        <v>500</v>
      </c>
      <c r="I124" s="417">
        <f>992+94</f>
        <v>1086</v>
      </c>
      <c r="K124" s="126">
        <v>5893</v>
      </c>
      <c r="L124" s="126">
        <v>5842</v>
      </c>
    </row>
    <row r="125" spans="1:16" x14ac:dyDescent="0.25">
      <c r="A125" s="179" t="s">
        <v>67</v>
      </c>
      <c r="B125" s="445"/>
      <c r="C125" s="445" t="s">
        <v>369</v>
      </c>
      <c r="D125" s="445"/>
      <c r="E125" s="410">
        <v>2000</v>
      </c>
      <c r="F125" s="410">
        <v>1000</v>
      </c>
      <c r="G125" s="410">
        <v>1500</v>
      </c>
      <c r="H125" s="410">
        <v>325</v>
      </c>
      <c r="I125" s="417">
        <v>294</v>
      </c>
      <c r="K125" s="126">
        <v>5872</v>
      </c>
      <c r="L125" s="126">
        <v>5873</v>
      </c>
      <c r="M125">
        <v>5839</v>
      </c>
      <c r="N125" t="s">
        <v>1895</v>
      </c>
    </row>
    <row r="126" spans="1:16" x14ac:dyDescent="0.25">
      <c r="A126" s="179" t="s">
        <v>1346</v>
      </c>
      <c r="B126" s="445"/>
      <c r="C126" s="445">
        <v>5349</v>
      </c>
      <c r="D126" s="445"/>
      <c r="E126" s="410">
        <v>2000</v>
      </c>
      <c r="F126" s="410">
        <v>1000</v>
      </c>
      <c r="G126" s="421">
        <v>1000</v>
      </c>
      <c r="H126" s="410">
        <v>540</v>
      </c>
      <c r="I126" s="417">
        <v>540</v>
      </c>
    </row>
    <row r="127" spans="1:16" x14ac:dyDescent="0.25">
      <c r="A127" s="197" t="s">
        <v>18</v>
      </c>
      <c r="B127" s="464"/>
      <c r="C127" s="457"/>
      <c r="D127" s="457"/>
      <c r="E127" s="422">
        <f>SUM(E120:E126)</f>
        <v>130000</v>
      </c>
      <c r="F127" s="422">
        <f>SUM(F120:F126)</f>
        <v>80100</v>
      </c>
      <c r="G127" s="422">
        <f>SUM(G120:G126)</f>
        <v>69800</v>
      </c>
      <c r="H127" s="422">
        <f>SUM(H120:H126)</f>
        <v>84414</v>
      </c>
      <c r="I127" s="422">
        <f>SUM(I120:I126)</f>
        <v>146879</v>
      </c>
      <c r="L127" s="126" t="s">
        <v>1899</v>
      </c>
    </row>
    <row r="128" spans="1:16" x14ac:dyDescent="0.25">
      <c r="A128" s="179"/>
      <c r="B128" s="445"/>
      <c r="C128" s="445"/>
      <c r="D128" s="445"/>
      <c r="E128" s="410"/>
      <c r="F128" s="410"/>
      <c r="G128" s="410"/>
      <c r="H128" s="410"/>
      <c r="I128" s="417"/>
    </row>
    <row r="129" spans="1:11" x14ac:dyDescent="0.25">
      <c r="A129" s="190" t="s">
        <v>1311</v>
      </c>
      <c r="B129" s="457"/>
      <c r="C129" s="445"/>
      <c r="D129" s="445"/>
      <c r="E129" s="410"/>
      <c r="F129" s="410"/>
      <c r="G129" s="410"/>
      <c r="H129" s="410"/>
      <c r="I129" s="417"/>
    </row>
    <row r="130" spans="1:11" x14ac:dyDescent="0.25">
      <c r="A130" s="190"/>
      <c r="B130" s="457"/>
      <c r="C130" s="445"/>
      <c r="D130" s="445"/>
      <c r="E130" s="410"/>
      <c r="F130" s="410"/>
      <c r="G130" s="410"/>
      <c r="H130" s="410"/>
      <c r="I130" s="417"/>
    </row>
    <row r="131" spans="1:11" x14ac:dyDescent="0.25">
      <c r="A131" s="179" t="s">
        <v>43</v>
      </c>
      <c r="B131" s="445"/>
      <c r="C131" s="458">
        <v>5048</v>
      </c>
      <c r="D131" s="458"/>
      <c r="E131" s="423">
        <v>45000</v>
      </c>
      <c r="F131" s="410">
        <v>40000</v>
      </c>
      <c r="G131" s="417">
        <v>50000</v>
      </c>
      <c r="H131" s="410">
        <v>37000</v>
      </c>
      <c r="I131" s="417">
        <v>38365</v>
      </c>
      <c r="K131" s="152">
        <v>3.5000000000000003E-2</v>
      </c>
    </row>
    <row r="132" spans="1:11" x14ac:dyDescent="0.25">
      <c r="A132" s="179" t="s">
        <v>112</v>
      </c>
      <c r="B132" s="445"/>
      <c r="C132" s="458" t="s">
        <v>369</v>
      </c>
      <c r="D132" s="458"/>
      <c r="E132" s="423">
        <v>47000</v>
      </c>
      <c r="F132" s="410">
        <v>42000</v>
      </c>
      <c r="G132" s="417">
        <v>64300</v>
      </c>
      <c r="H132" s="410">
        <v>47644</v>
      </c>
      <c r="I132" s="417">
        <f>44710+26712</f>
        <v>71422</v>
      </c>
    </row>
    <row r="133" spans="1:11" x14ac:dyDescent="0.25">
      <c r="A133" s="179" t="s">
        <v>1897</v>
      </c>
      <c r="B133" s="445"/>
      <c r="C133" s="458"/>
      <c r="D133" s="458"/>
      <c r="E133" s="432">
        <v>25000</v>
      </c>
      <c r="F133" s="410">
        <v>30000</v>
      </c>
      <c r="G133" s="417"/>
      <c r="H133" s="410"/>
      <c r="I133" s="417"/>
    </row>
    <row r="134" spans="1:11" x14ac:dyDescent="0.25">
      <c r="A134" s="179" t="s">
        <v>44</v>
      </c>
      <c r="B134" s="445"/>
      <c r="C134" s="458">
        <v>5065</v>
      </c>
      <c r="D134" s="458"/>
      <c r="E134" s="432">
        <f>8500</f>
        <v>8500</v>
      </c>
      <c r="F134" s="410">
        <v>5500</v>
      </c>
      <c r="G134" s="417">
        <v>4000</v>
      </c>
      <c r="H134" s="410">
        <v>5460</v>
      </c>
      <c r="I134" s="417">
        <v>4553</v>
      </c>
      <c r="K134" s="126" t="s">
        <v>1312</v>
      </c>
    </row>
    <row r="135" spans="1:11" x14ac:dyDescent="0.25">
      <c r="A135" s="179" t="s">
        <v>45</v>
      </c>
      <c r="B135" s="445"/>
      <c r="C135" s="458" t="s">
        <v>369</v>
      </c>
      <c r="D135" s="458"/>
      <c r="E135" s="423">
        <v>20000</v>
      </c>
      <c r="F135" s="410">
        <v>22000</v>
      </c>
      <c r="G135" s="417">
        <v>22000</v>
      </c>
      <c r="H135" s="410">
        <v>6800</v>
      </c>
      <c r="I135" s="417">
        <v>22517</v>
      </c>
    </row>
    <row r="136" spans="1:11" x14ac:dyDescent="0.25">
      <c r="A136" s="179" t="s">
        <v>46</v>
      </c>
      <c r="B136" s="445"/>
      <c r="C136" s="458">
        <v>5057</v>
      </c>
      <c r="D136" s="458"/>
      <c r="E136" s="423">
        <v>17000</v>
      </c>
      <c r="F136" s="410">
        <v>9000</v>
      </c>
      <c r="G136" s="417">
        <v>9000</v>
      </c>
      <c r="H136" s="410">
        <v>7500</v>
      </c>
      <c r="I136" s="417">
        <v>9498</v>
      </c>
    </row>
    <row r="137" spans="1:11" x14ac:dyDescent="0.25">
      <c r="A137" s="179" t="s">
        <v>111</v>
      </c>
      <c r="B137" s="445"/>
      <c r="C137" s="458">
        <v>5051</v>
      </c>
      <c r="D137" s="458"/>
      <c r="E137" s="423">
        <v>1500</v>
      </c>
      <c r="F137" s="410">
        <v>1800</v>
      </c>
      <c r="G137" s="417">
        <v>1500</v>
      </c>
      <c r="H137" s="410">
        <v>1700</v>
      </c>
      <c r="I137" s="417">
        <v>1714</v>
      </c>
    </row>
    <row r="138" spans="1:11" x14ac:dyDescent="0.25">
      <c r="A138" s="179" t="s">
        <v>104</v>
      </c>
      <c r="B138" s="445"/>
      <c r="C138" s="458">
        <v>5033</v>
      </c>
      <c r="D138" s="458"/>
      <c r="E138" s="423">
        <v>1600</v>
      </c>
      <c r="F138" s="410">
        <v>1600</v>
      </c>
      <c r="G138" s="417">
        <v>1500</v>
      </c>
      <c r="H138" s="410">
        <v>1500</v>
      </c>
      <c r="I138" s="417">
        <v>1102</v>
      </c>
    </row>
    <row r="139" spans="1:11" x14ac:dyDescent="0.25">
      <c r="A139" s="179" t="s">
        <v>1390</v>
      </c>
      <c r="B139" s="445"/>
      <c r="C139" s="458"/>
      <c r="D139" s="458"/>
      <c r="E139" s="423">
        <v>1000</v>
      </c>
      <c r="F139" s="410">
        <v>2500</v>
      </c>
      <c r="G139" s="417">
        <v>0</v>
      </c>
      <c r="H139" s="410">
        <v>2500</v>
      </c>
      <c r="I139" s="417">
        <v>0</v>
      </c>
    </row>
    <row r="140" spans="1:11" x14ac:dyDescent="0.25">
      <c r="A140" s="179" t="s">
        <v>47</v>
      </c>
      <c r="B140" s="445"/>
      <c r="C140" s="458" t="s">
        <v>369</v>
      </c>
      <c r="D140" s="458"/>
      <c r="E140" s="423">
        <v>15000</v>
      </c>
      <c r="F140" s="410">
        <v>15000</v>
      </c>
      <c r="G140" s="417">
        <v>22000</v>
      </c>
      <c r="H140" s="410">
        <v>15000</v>
      </c>
      <c r="I140" s="417">
        <f>38778+54-22777</f>
        <v>16055</v>
      </c>
      <c r="K140" s="126" t="s">
        <v>1325</v>
      </c>
    </row>
    <row r="141" spans="1:11" x14ac:dyDescent="0.25">
      <c r="A141" s="179" t="s">
        <v>33</v>
      </c>
      <c r="B141" s="445"/>
      <c r="C141" s="458">
        <v>5081</v>
      </c>
      <c r="D141" s="458"/>
      <c r="E141" s="423">
        <v>4000</v>
      </c>
      <c r="F141" s="410">
        <v>4000</v>
      </c>
      <c r="G141" s="417">
        <v>5000</v>
      </c>
      <c r="H141" s="410">
        <v>4000</v>
      </c>
      <c r="I141" s="417">
        <v>3688</v>
      </c>
    </row>
    <row r="142" spans="1:11" x14ac:dyDescent="0.25">
      <c r="A142" s="179" t="s">
        <v>48</v>
      </c>
      <c r="B142" s="445"/>
      <c r="C142" s="458">
        <v>5060</v>
      </c>
      <c r="D142" s="458"/>
      <c r="E142" s="423">
        <v>3500</v>
      </c>
      <c r="F142" s="410">
        <v>3500</v>
      </c>
      <c r="G142" s="417">
        <v>3000</v>
      </c>
      <c r="H142" s="410">
        <v>3500</v>
      </c>
      <c r="I142" s="417">
        <v>2400</v>
      </c>
      <c r="K142" s="126" t="s">
        <v>1313</v>
      </c>
    </row>
    <row r="143" spans="1:11" x14ac:dyDescent="0.25">
      <c r="A143" s="179" t="s">
        <v>49</v>
      </c>
      <c r="B143" s="445"/>
      <c r="C143" s="458" t="s">
        <v>369</v>
      </c>
      <c r="D143" s="458"/>
      <c r="E143" s="423">
        <v>500</v>
      </c>
      <c r="F143" s="410">
        <v>500</v>
      </c>
      <c r="G143" s="417">
        <v>1500</v>
      </c>
      <c r="H143" s="410">
        <v>500</v>
      </c>
      <c r="I143" s="417">
        <v>932</v>
      </c>
    </row>
    <row r="144" spans="1:11" x14ac:dyDescent="0.25">
      <c r="A144" s="197" t="s">
        <v>20</v>
      </c>
      <c r="B144" s="464"/>
      <c r="C144" s="457"/>
      <c r="D144" s="457"/>
      <c r="E144" s="422">
        <f t="shared" ref="E144:F144" si="9">SUM(E131:E143)</f>
        <v>189600</v>
      </c>
      <c r="F144" s="422">
        <f t="shared" si="9"/>
        <v>177400</v>
      </c>
      <c r="G144" s="422">
        <f t="shared" ref="G144:H144" si="10">SUM(G131:G143)</f>
        <v>183800</v>
      </c>
      <c r="H144" s="422">
        <f t="shared" si="10"/>
        <v>133104</v>
      </c>
      <c r="I144" s="422">
        <f>SUM(I131:I143)</f>
        <v>172246</v>
      </c>
    </row>
    <row r="145" spans="1:16" x14ac:dyDescent="0.25">
      <c r="A145" s="190"/>
      <c r="B145" s="457"/>
      <c r="C145" s="457"/>
      <c r="D145" s="457"/>
      <c r="E145" s="438"/>
      <c r="F145" s="410"/>
      <c r="G145" s="422"/>
      <c r="H145" s="410"/>
      <c r="I145" s="422"/>
    </row>
    <row r="146" spans="1:16" x14ac:dyDescent="0.25">
      <c r="A146" s="190" t="s">
        <v>31</v>
      </c>
      <c r="B146" s="457"/>
      <c r="C146" s="445"/>
      <c r="D146" s="445"/>
      <c r="E146" s="410"/>
      <c r="F146" s="410"/>
      <c r="G146" s="410"/>
      <c r="H146" s="410"/>
      <c r="I146" s="417"/>
    </row>
    <row r="147" spans="1:16" x14ac:dyDescent="0.25">
      <c r="A147" s="179" t="s">
        <v>39</v>
      </c>
      <c r="B147" s="445">
        <v>5343</v>
      </c>
      <c r="C147" s="445"/>
      <c r="D147" s="445"/>
      <c r="E147" s="410">
        <v>20000</v>
      </c>
      <c r="F147" s="410">
        <v>20000</v>
      </c>
      <c r="G147" s="417">
        <v>15000</v>
      </c>
      <c r="H147" s="410">
        <v>20000</v>
      </c>
      <c r="I147" s="417">
        <v>14679</v>
      </c>
      <c r="K147" s="126" t="s">
        <v>1310</v>
      </c>
    </row>
    <row r="148" spans="1:16" x14ac:dyDescent="0.25">
      <c r="A148" s="179" t="s">
        <v>40</v>
      </c>
      <c r="B148" s="445">
        <v>5345</v>
      </c>
      <c r="C148" s="445"/>
      <c r="D148" s="445"/>
      <c r="E148" s="410">
        <v>5000</v>
      </c>
      <c r="F148" s="410">
        <v>1000</v>
      </c>
      <c r="G148" s="417">
        <v>1500</v>
      </c>
      <c r="H148" s="410">
        <v>6000</v>
      </c>
      <c r="I148" s="417">
        <v>187</v>
      </c>
      <c r="K148" s="126" t="s">
        <v>1331</v>
      </c>
    </row>
    <row r="149" spans="1:16" x14ac:dyDescent="0.25">
      <c r="A149" s="179" t="s">
        <v>42</v>
      </c>
      <c r="B149" s="445">
        <v>5347</v>
      </c>
      <c r="C149" s="445"/>
      <c r="D149" s="445"/>
      <c r="E149" s="410">
        <v>7000</v>
      </c>
      <c r="F149" s="410">
        <v>3000</v>
      </c>
      <c r="G149" s="417">
        <v>2500</v>
      </c>
      <c r="H149" s="410">
        <v>6500</v>
      </c>
      <c r="I149" s="417">
        <v>2029</v>
      </c>
      <c r="K149" s="126" t="s">
        <v>1332</v>
      </c>
    </row>
    <row r="150" spans="1:16" ht="18" x14ac:dyDescent="0.4">
      <c r="A150" s="179" t="s">
        <v>41</v>
      </c>
      <c r="B150" s="445">
        <v>5344</v>
      </c>
      <c r="C150" s="445"/>
      <c r="D150" s="445"/>
      <c r="E150" s="410">
        <v>2000</v>
      </c>
      <c r="F150" s="410">
        <v>10000</v>
      </c>
      <c r="G150" s="439">
        <v>10000</v>
      </c>
      <c r="H150" s="410">
        <v>18000</v>
      </c>
      <c r="I150" s="439">
        <v>42086</v>
      </c>
      <c r="K150" s="126" t="s">
        <v>1310</v>
      </c>
    </row>
    <row r="151" spans="1:16" x14ac:dyDescent="0.25">
      <c r="A151" s="197" t="s">
        <v>20</v>
      </c>
      <c r="B151" s="464"/>
      <c r="C151" s="457"/>
      <c r="D151" s="457"/>
      <c r="E151" s="422">
        <f t="shared" ref="E151:F151" si="11">SUM(E147:E150)</f>
        <v>34000</v>
      </c>
      <c r="F151" s="422">
        <f t="shared" si="11"/>
        <v>34000</v>
      </c>
      <c r="G151" s="422">
        <f t="shared" ref="G151:H151" si="12">SUM(G147:G150)</f>
        <v>29000</v>
      </c>
      <c r="H151" s="422">
        <f t="shared" si="12"/>
        <v>50500</v>
      </c>
      <c r="I151" s="422">
        <f>SUM(I147:I150)</f>
        <v>58981</v>
      </c>
    </row>
    <row r="152" spans="1:16" x14ac:dyDescent="0.25">
      <c r="A152" s="190"/>
      <c r="B152" s="457"/>
      <c r="C152" s="457"/>
      <c r="D152" s="457"/>
      <c r="E152" s="438"/>
      <c r="F152" s="410"/>
      <c r="G152" s="438"/>
      <c r="H152" s="410"/>
      <c r="I152" s="422"/>
    </row>
    <row r="153" spans="1:16" x14ac:dyDescent="0.25">
      <c r="A153" s="190" t="s">
        <v>50</v>
      </c>
      <c r="B153" s="457"/>
      <c r="C153" s="445"/>
      <c r="D153" s="445"/>
      <c r="E153" s="410"/>
      <c r="F153" s="410"/>
      <c r="G153" s="410"/>
      <c r="H153" s="410"/>
      <c r="I153" s="417"/>
    </row>
    <row r="154" spans="1:16" x14ac:dyDescent="0.25">
      <c r="A154" s="190"/>
      <c r="B154" s="457"/>
      <c r="C154" s="445"/>
      <c r="D154" s="445"/>
      <c r="E154" s="410"/>
      <c r="F154" s="410"/>
      <c r="G154" s="410"/>
      <c r="H154" s="410"/>
      <c r="I154" s="417"/>
    </row>
    <row r="155" spans="1:16" x14ac:dyDescent="0.25">
      <c r="A155" s="190" t="s">
        <v>51</v>
      </c>
      <c r="B155" s="457"/>
      <c r="C155" s="445"/>
      <c r="D155" s="445"/>
      <c r="E155" s="410"/>
      <c r="F155" s="410"/>
      <c r="G155" s="410"/>
      <c r="H155" s="410"/>
      <c r="I155" s="417"/>
    </row>
    <row r="156" spans="1:16" x14ac:dyDescent="0.25">
      <c r="A156" s="179" t="s">
        <v>52</v>
      </c>
      <c r="B156" s="445"/>
      <c r="C156" s="445">
        <v>5512</v>
      </c>
      <c r="D156" s="445"/>
      <c r="E156" s="410">
        <v>12000</v>
      </c>
      <c r="F156" s="410">
        <v>8000</v>
      </c>
      <c r="G156" s="410">
        <v>8000</v>
      </c>
      <c r="H156" s="410">
        <v>6000</v>
      </c>
      <c r="I156" s="417">
        <v>7638</v>
      </c>
      <c r="K156" s="166"/>
    </row>
    <row r="157" spans="1:16" x14ac:dyDescent="0.25">
      <c r="A157" s="179" t="s">
        <v>53</v>
      </c>
      <c r="B157" s="445"/>
      <c r="C157" s="445">
        <v>5502</v>
      </c>
      <c r="D157" s="445"/>
      <c r="E157" s="410">
        <v>3200</v>
      </c>
      <c r="F157" s="410">
        <v>3200</v>
      </c>
      <c r="G157" s="410">
        <v>3000</v>
      </c>
      <c r="H157" s="410">
        <v>3000</v>
      </c>
      <c r="I157" s="417">
        <v>2506</v>
      </c>
      <c r="K157" s="166">
        <v>3.5000000000000003E-2</v>
      </c>
    </row>
    <row r="158" spans="1:16" x14ac:dyDescent="0.25">
      <c r="A158" s="179" t="s">
        <v>44</v>
      </c>
      <c r="B158" s="445"/>
      <c r="C158" s="445">
        <v>5528</v>
      </c>
      <c r="D158" s="445"/>
      <c r="E158" s="410">
        <v>1000</v>
      </c>
      <c r="F158" s="410">
        <v>800</v>
      </c>
      <c r="G158" s="410">
        <v>1200</v>
      </c>
      <c r="H158" s="410">
        <v>7000</v>
      </c>
      <c r="I158" s="417">
        <v>8324</v>
      </c>
      <c r="K158" s="126" t="s">
        <v>1339</v>
      </c>
      <c r="L158" s="126" t="s">
        <v>107</v>
      </c>
      <c r="M158" s="126"/>
    </row>
    <row r="159" spans="1:16" x14ac:dyDescent="0.25">
      <c r="A159" s="179" t="s">
        <v>54</v>
      </c>
      <c r="B159" s="445"/>
      <c r="C159" s="445" t="s">
        <v>369</v>
      </c>
      <c r="D159" s="445"/>
      <c r="E159" s="410">
        <v>3000</v>
      </c>
      <c r="F159" s="410">
        <v>3000</v>
      </c>
      <c r="G159" s="410">
        <v>4600</v>
      </c>
      <c r="H159" s="410">
        <v>1800</v>
      </c>
      <c r="I159" s="417">
        <v>1814</v>
      </c>
      <c r="L159" s="167">
        <v>5514</v>
      </c>
      <c r="M159" s="168">
        <v>5530</v>
      </c>
      <c r="N159" s="169">
        <v>5532</v>
      </c>
      <c r="O159" s="169">
        <v>5522</v>
      </c>
      <c r="P159" s="170"/>
    </row>
    <row r="160" spans="1:16" x14ac:dyDescent="0.25">
      <c r="A160" s="179" t="s">
        <v>55</v>
      </c>
      <c r="B160" s="445"/>
      <c r="C160" s="445">
        <v>5516</v>
      </c>
      <c r="D160" s="445"/>
      <c r="E160" s="410">
        <v>0</v>
      </c>
      <c r="F160" s="410">
        <v>0</v>
      </c>
      <c r="G160" s="410">
        <v>0</v>
      </c>
      <c r="H160" s="410">
        <v>0</v>
      </c>
      <c r="I160" s="420">
        <v>27.5</v>
      </c>
      <c r="K160" s="126" t="s">
        <v>1340</v>
      </c>
      <c r="L160" s="171">
        <v>1000</v>
      </c>
      <c r="M160" s="172">
        <v>106</v>
      </c>
      <c r="N160" s="172">
        <v>200</v>
      </c>
      <c r="O160" s="172">
        <v>1046</v>
      </c>
      <c r="P160" s="173">
        <f>SUM(L160:O160)</f>
        <v>2352</v>
      </c>
    </row>
    <row r="161" spans="1:15" x14ac:dyDescent="0.25">
      <c r="A161" s="179" t="s">
        <v>58</v>
      </c>
      <c r="B161" s="445"/>
      <c r="C161" s="445" t="s">
        <v>369</v>
      </c>
      <c r="D161" s="445"/>
      <c r="E161" s="410">
        <v>2000</v>
      </c>
      <c r="F161" s="410">
        <v>1100</v>
      </c>
      <c r="G161" s="421">
        <v>3500</v>
      </c>
      <c r="H161" s="410">
        <v>1100</v>
      </c>
      <c r="I161" s="417">
        <f>859-162-1</f>
        <v>696</v>
      </c>
      <c r="L161" s="167">
        <v>5524</v>
      </c>
      <c r="M161" s="168">
        <v>5526</v>
      </c>
      <c r="N161" s="170"/>
    </row>
    <row r="162" spans="1:15" x14ac:dyDescent="0.25">
      <c r="A162" s="200" t="s">
        <v>1393</v>
      </c>
      <c r="B162" s="465"/>
      <c r="C162" s="445"/>
      <c r="D162" s="445"/>
      <c r="E162" s="440">
        <f t="shared" ref="E162:F162" si="13">SUM(E156:E161)</f>
        <v>21200</v>
      </c>
      <c r="F162" s="440">
        <f t="shared" si="13"/>
        <v>16100</v>
      </c>
      <c r="G162" s="440">
        <f t="shared" ref="G162:H162" si="14">SUM(G156:G161)</f>
        <v>20300</v>
      </c>
      <c r="H162" s="440">
        <f t="shared" si="14"/>
        <v>18900</v>
      </c>
      <c r="I162" s="440">
        <f>SUM(I156:I161)</f>
        <v>21005.5</v>
      </c>
      <c r="L162" s="171">
        <v>162</v>
      </c>
      <c r="M162" s="172">
        <v>900</v>
      </c>
      <c r="N162" s="173">
        <f>SUM(L162:M162)</f>
        <v>1062</v>
      </c>
    </row>
    <row r="163" spans="1:15" x14ac:dyDescent="0.25">
      <c r="A163" s="190" t="s">
        <v>59</v>
      </c>
      <c r="B163" s="457"/>
      <c r="C163" s="457">
        <v>5535</v>
      </c>
      <c r="D163" s="457"/>
      <c r="E163" s="423">
        <v>17000</v>
      </c>
      <c r="F163" s="423">
        <v>13500</v>
      </c>
      <c r="G163" s="433">
        <v>13500</v>
      </c>
      <c r="H163" s="423">
        <v>13500</v>
      </c>
      <c r="I163" s="433">
        <v>12100</v>
      </c>
    </row>
    <row r="164" spans="1:15" x14ac:dyDescent="0.25">
      <c r="A164" s="197" t="s">
        <v>397</v>
      </c>
      <c r="B164" s="464"/>
      <c r="C164" s="457"/>
      <c r="D164" s="457"/>
      <c r="E164" s="422">
        <f t="shared" ref="E164:F164" si="15">E162-E163</f>
        <v>4200</v>
      </c>
      <c r="F164" s="422">
        <f t="shared" si="15"/>
        <v>2600</v>
      </c>
      <c r="G164" s="422">
        <f t="shared" ref="G164:H164" si="16">G162-G163</f>
        <v>6800</v>
      </c>
      <c r="H164" s="422">
        <f t="shared" si="16"/>
        <v>5400</v>
      </c>
      <c r="I164" s="422">
        <f>I162-I163</f>
        <v>8905.5</v>
      </c>
      <c r="K164" s="4" t="s">
        <v>207</v>
      </c>
    </row>
    <row r="165" spans="1:15" x14ac:dyDescent="0.25">
      <c r="A165" s="179" t="s">
        <v>1371</v>
      </c>
      <c r="B165" s="445"/>
      <c r="C165" s="445">
        <v>5756</v>
      </c>
      <c r="D165" s="445"/>
      <c r="E165" s="410">
        <v>1500</v>
      </c>
      <c r="F165" s="410">
        <v>2800</v>
      </c>
      <c r="G165" s="410">
        <v>0</v>
      </c>
      <c r="H165" s="410">
        <v>1800</v>
      </c>
      <c r="I165" s="417">
        <v>64</v>
      </c>
      <c r="K165" s="126" t="s">
        <v>1303</v>
      </c>
      <c r="O165" t="s">
        <v>1372</v>
      </c>
    </row>
    <row r="166" spans="1:15" x14ac:dyDescent="0.25">
      <c r="A166" s="194" t="s">
        <v>1319</v>
      </c>
      <c r="B166" s="462"/>
      <c r="C166" s="443"/>
      <c r="D166" s="443"/>
      <c r="E166" s="431">
        <f t="shared" ref="E166:F166" si="17">E164+E165</f>
        <v>5700</v>
      </c>
      <c r="F166" s="431">
        <f t="shared" si="17"/>
        <v>5400</v>
      </c>
      <c r="G166" s="431">
        <f t="shared" ref="G166:H166" si="18">G164+G165</f>
        <v>6800</v>
      </c>
      <c r="H166" s="431">
        <f t="shared" si="18"/>
        <v>7200</v>
      </c>
      <c r="I166" s="431">
        <f>I164+I165</f>
        <v>8969.5</v>
      </c>
    </row>
    <row r="167" spans="1:15" x14ac:dyDescent="0.25">
      <c r="A167" s="179"/>
      <c r="B167" s="445"/>
      <c r="C167" s="445"/>
      <c r="D167" s="445"/>
      <c r="E167" s="410"/>
      <c r="F167" s="410"/>
      <c r="G167" s="410"/>
      <c r="H167" s="410"/>
      <c r="I167" s="417"/>
    </row>
    <row r="168" spans="1:15" x14ac:dyDescent="0.25">
      <c r="A168" s="190" t="s">
        <v>56</v>
      </c>
      <c r="B168" s="457"/>
      <c r="C168" s="445"/>
      <c r="D168" s="445"/>
      <c r="E168" s="410"/>
      <c r="F168" s="410"/>
      <c r="G168" s="410"/>
      <c r="H168" s="410"/>
      <c r="I168" s="417"/>
    </row>
    <row r="169" spans="1:15" x14ac:dyDescent="0.25">
      <c r="A169" s="179" t="s">
        <v>53</v>
      </c>
      <c r="B169" s="445"/>
      <c r="C169" s="445">
        <v>5628</v>
      </c>
      <c r="D169" s="445"/>
      <c r="E169" s="410">
        <v>1200</v>
      </c>
      <c r="F169" s="410">
        <v>1000</v>
      </c>
      <c r="G169" s="410">
        <v>1000</v>
      </c>
      <c r="H169" s="410">
        <v>950</v>
      </c>
      <c r="I169" s="417">
        <v>945</v>
      </c>
      <c r="K169" s="126" t="s">
        <v>1352</v>
      </c>
    </row>
    <row r="170" spans="1:15" x14ac:dyDescent="0.25">
      <c r="A170" s="179" t="s">
        <v>44</v>
      </c>
      <c r="B170" s="445"/>
      <c r="C170" s="445">
        <v>5624</v>
      </c>
      <c r="D170" s="445"/>
      <c r="E170" s="410">
        <v>500</v>
      </c>
      <c r="F170" s="410">
        <v>440</v>
      </c>
      <c r="G170" s="410">
        <v>280</v>
      </c>
      <c r="H170" s="410">
        <v>305</v>
      </c>
      <c r="I170" s="417">
        <v>269</v>
      </c>
      <c r="L170" s="126" t="s">
        <v>1351</v>
      </c>
    </row>
    <row r="171" spans="1:15" x14ac:dyDescent="0.25">
      <c r="A171" s="179" t="s">
        <v>54</v>
      </c>
      <c r="B171" s="445"/>
      <c r="C171" s="445" t="s">
        <v>369</v>
      </c>
      <c r="D171" s="445"/>
      <c r="E171" s="410">
        <v>5000</v>
      </c>
      <c r="F171" s="418">
        <v>5000</v>
      </c>
      <c r="G171" s="410">
        <v>3500</v>
      </c>
      <c r="H171" s="410">
        <v>0</v>
      </c>
      <c r="I171" s="417">
        <f>6974+2</f>
        <v>6976</v>
      </c>
      <c r="K171" s="126">
        <v>5625</v>
      </c>
      <c r="L171" s="126">
        <v>5626</v>
      </c>
      <c r="M171" t="s">
        <v>1353</v>
      </c>
    </row>
    <row r="172" spans="1:15" x14ac:dyDescent="0.25">
      <c r="A172" s="179" t="s">
        <v>55</v>
      </c>
      <c r="B172" s="445"/>
      <c r="C172" s="445"/>
      <c r="D172" s="445"/>
      <c r="E172" s="410">
        <v>0</v>
      </c>
      <c r="F172" s="410">
        <v>0</v>
      </c>
      <c r="G172" s="410">
        <v>0</v>
      </c>
      <c r="H172" s="410">
        <v>0</v>
      </c>
      <c r="I172" s="417">
        <v>0</v>
      </c>
      <c r="K172" s="22"/>
      <c r="L172" s="22"/>
      <c r="M172" s="34"/>
    </row>
    <row r="173" spans="1:15" ht="18" x14ac:dyDescent="0.4">
      <c r="A173" s="179" t="s">
        <v>58</v>
      </c>
      <c r="B173" s="445"/>
      <c r="C173" s="445">
        <v>5629</v>
      </c>
      <c r="D173" s="445"/>
      <c r="E173" s="410">
        <v>2500</v>
      </c>
      <c r="F173" s="410">
        <v>2100</v>
      </c>
      <c r="G173" s="421">
        <v>1600</v>
      </c>
      <c r="H173" s="410">
        <v>2000</v>
      </c>
      <c r="I173" s="439">
        <v>3274</v>
      </c>
      <c r="K173" s="126">
        <v>5629</v>
      </c>
      <c r="L173" s="126">
        <v>5630</v>
      </c>
      <c r="M173" s="126"/>
    </row>
    <row r="174" spans="1:15" s="74" customFormat="1" x14ac:dyDescent="0.25">
      <c r="A174" s="197" t="s">
        <v>60</v>
      </c>
      <c r="B174" s="464"/>
      <c r="C174" s="464"/>
      <c r="D174" s="464"/>
      <c r="E174" s="441">
        <f>SUM(E169:E173)</f>
        <v>9200</v>
      </c>
      <c r="F174" s="441">
        <f>SUM(F169:F173)</f>
        <v>8540</v>
      </c>
      <c r="G174" s="441">
        <f>SUM(G169:G173)</f>
        <v>6380</v>
      </c>
      <c r="H174" s="441">
        <f>SUM(H169:H173)</f>
        <v>3255</v>
      </c>
      <c r="I174" s="441">
        <f>SUM(I169:I173)</f>
        <v>11464</v>
      </c>
      <c r="J174" s="156"/>
      <c r="K174" s="157"/>
      <c r="L174" s="157"/>
    </row>
    <row r="175" spans="1:15" x14ac:dyDescent="0.25">
      <c r="A175" s="179"/>
      <c r="B175" s="445"/>
      <c r="C175" s="445"/>
      <c r="D175" s="445"/>
      <c r="E175" s="410"/>
      <c r="F175" s="410"/>
      <c r="G175" s="410"/>
      <c r="H175" s="410"/>
      <c r="I175" s="417"/>
    </row>
    <row r="176" spans="1:15" x14ac:dyDescent="0.25">
      <c r="A176" s="190" t="s">
        <v>57</v>
      </c>
      <c r="B176" s="457"/>
      <c r="C176" s="445"/>
      <c r="D176" s="445"/>
      <c r="E176" s="410"/>
      <c r="F176" s="410"/>
      <c r="G176" s="410"/>
      <c r="H176" s="410"/>
      <c r="I176" s="417"/>
    </row>
    <row r="177" spans="1:14" x14ac:dyDescent="0.25">
      <c r="A177" s="204" t="s">
        <v>69</v>
      </c>
      <c r="B177" s="466"/>
      <c r="C177" s="445"/>
      <c r="D177" s="445"/>
      <c r="E177" s="410">
        <v>0</v>
      </c>
      <c r="F177" s="410">
        <v>25</v>
      </c>
      <c r="G177" s="410">
        <v>600</v>
      </c>
      <c r="H177" s="410">
        <v>100</v>
      </c>
      <c r="I177" s="420">
        <v>0</v>
      </c>
    </row>
    <row r="178" spans="1:14" x14ac:dyDescent="0.25">
      <c r="A178" s="179" t="s">
        <v>1896</v>
      </c>
      <c r="B178" s="445"/>
      <c r="C178" s="445">
        <v>5705</v>
      </c>
      <c r="D178" s="445"/>
      <c r="E178" s="410">
        <v>2200</v>
      </c>
      <c r="F178" s="410">
        <v>2200</v>
      </c>
      <c r="G178" s="410">
        <v>2100</v>
      </c>
      <c r="H178" s="410">
        <v>2070</v>
      </c>
      <c r="I178" s="417">
        <v>2219</v>
      </c>
      <c r="K178" s="126" t="s">
        <v>1336</v>
      </c>
    </row>
    <row r="179" spans="1:14" x14ac:dyDescent="0.25">
      <c r="A179" s="179" t="s">
        <v>44</v>
      </c>
      <c r="B179" s="445"/>
      <c r="C179" s="445">
        <v>5703</v>
      </c>
      <c r="D179" s="445"/>
      <c r="E179" s="410">
        <v>250</v>
      </c>
      <c r="F179" s="410">
        <v>200</v>
      </c>
      <c r="G179" s="410">
        <v>50</v>
      </c>
      <c r="H179" s="410">
        <v>40</v>
      </c>
      <c r="I179" s="417">
        <v>49</v>
      </c>
    </row>
    <row r="180" spans="1:14" x14ac:dyDescent="0.25">
      <c r="A180" s="179" t="s">
        <v>54</v>
      </c>
      <c r="B180" s="445"/>
      <c r="C180" s="445" t="s">
        <v>369</v>
      </c>
      <c r="D180" s="445"/>
      <c r="E180" s="410">
        <v>2000</v>
      </c>
      <c r="F180" s="410">
        <v>2500</v>
      </c>
      <c r="G180" s="410">
        <v>1000</v>
      </c>
      <c r="H180" s="410">
        <v>3715</v>
      </c>
      <c r="I180" s="417">
        <f>1280-1</f>
        <v>1279</v>
      </c>
      <c r="K180" s="126">
        <v>5702</v>
      </c>
      <c r="L180" s="126">
        <v>5706</v>
      </c>
      <c r="M180">
        <v>5709</v>
      </c>
      <c r="N180" t="s">
        <v>1337</v>
      </c>
    </row>
    <row r="181" spans="1:14" ht="18" x14ac:dyDescent="0.4">
      <c r="A181" s="179" t="s">
        <v>58</v>
      </c>
      <c r="B181" s="445"/>
      <c r="C181" s="445">
        <v>5708</v>
      </c>
      <c r="D181" s="445"/>
      <c r="E181" s="410">
        <v>2500</v>
      </c>
      <c r="F181" s="410">
        <v>2300</v>
      </c>
      <c r="G181" s="421">
        <v>600</v>
      </c>
      <c r="H181" s="410">
        <v>2160</v>
      </c>
      <c r="I181" s="439">
        <v>1972</v>
      </c>
      <c r="L181" s="126" t="s">
        <v>1338</v>
      </c>
      <c r="M181" s="159" t="s">
        <v>1304</v>
      </c>
    </row>
    <row r="182" spans="1:14" x14ac:dyDescent="0.25">
      <c r="A182" s="197" t="s">
        <v>61</v>
      </c>
      <c r="B182" s="464"/>
      <c r="C182" s="445"/>
      <c r="D182" s="445"/>
      <c r="E182" s="422">
        <f>SUM(E177:E181)</f>
        <v>6950</v>
      </c>
      <c r="F182" s="422">
        <f>SUM(F177:F181)</f>
        <v>7225</v>
      </c>
      <c r="G182" s="422">
        <f>SUM(G177:G181)</f>
        <v>4350</v>
      </c>
      <c r="H182" s="422">
        <f>SUM(H177:H181)</f>
        <v>8085</v>
      </c>
      <c r="I182" s="422">
        <f>SUM(I177:I181)</f>
        <v>5519</v>
      </c>
    </row>
    <row r="183" spans="1:14" x14ac:dyDescent="0.25">
      <c r="A183" s="197"/>
      <c r="B183" s="464"/>
      <c r="C183" s="445"/>
      <c r="D183" s="445"/>
      <c r="E183" s="410"/>
      <c r="F183" s="422"/>
      <c r="G183" s="422"/>
      <c r="H183" s="422"/>
      <c r="I183" s="422"/>
    </row>
    <row r="184" spans="1:14" x14ac:dyDescent="0.25">
      <c r="A184" s="190" t="s">
        <v>1320</v>
      </c>
      <c r="B184" s="457"/>
      <c r="C184" s="445"/>
      <c r="D184" s="445"/>
      <c r="E184" s="410"/>
      <c r="F184" s="410"/>
      <c r="G184" s="438"/>
      <c r="H184" s="410"/>
      <c r="I184" s="417"/>
    </row>
    <row r="185" spans="1:14" x14ac:dyDescent="0.25">
      <c r="A185" s="179" t="s">
        <v>122</v>
      </c>
      <c r="B185" s="445"/>
      <c r="C185" s="445">
        <v>5762</v>
      </c>
      <c r="D185" s="445"/>
      <c r="E185" s="410">
        <v>250</v>
      </c>
      <c r="F185" s="410">
        <v>200</v>
      </c>
      <c r="G185" s="438">
        <v>500</v>
      </c>
      <c r="H185" s="410">
        <v>170</v>
      </c>
      <c r="I185" s="417">
        <v>550</v>
      </c>
    </row>
    <row r="186" spans="1:14" x14ac:dyDescent="0.25">
      <c r="A186" s="179" t="s">
        <v>119</v>
      </c>
      <c r="B186" s="445"/>
      <c r="C186" s="445">
        <v>5768</v>
      </c>
      <c r="D186" s="445"/>
      <c r="E186" s="410">
        <v>1000</v>
      </c>
      <c r="F186" s="410">
        <v>1500</v>
      </c>
      <c r="G186" s="438">
        <v>850</v>
      </c>
      <c r="H186" s="410">
        <v>410</v>
      </c>
      <c r="I186" s="417">
        <v>440</v>
      </c>
      <c r="K186" s="126" t="s">
        <v>1392</v>
      </c>
    </row>
    <row r="187" spans="1:14" x14ac:dyDescent="0.25">
      <c r="A187" s="188" t="s">
        <v>1391</v>
      </c>
      <c r="B187" s="456"/>
      <c r="C187" s="445">
        <v>5670</v>
      </c>
      <c r="D187" s="445"/>
      <c r="E187" s="410">
        <v>500</v>
      </c>
      <c r="F187" s="410">
        <v>1000</v>
      </c>
      <c r="G187" s="438">
        <v>2500</v>
      </c>
      <c r="H187" s="410">
        <v>370</v>
      </c>
      <c r="I187" s="417">
        <v>-457</v>
      </c>
      <c r="K187" s="126" t="s">
        <v>1455</v>
      </c>
    </row>
    <row r="188" spans="1:14" s="16" customFormat="1" x14ac:dyDescent="0.25">
      <c r="A188" s="194" t="s">
        <v>1321</v>
      </c>
      <c r="B188" s="462"/>
      <c r="C188" s="443"/>
      <c r="D188" s="443"/>
      <c r="E188" s="431">
        <f t="shared" ref="E188:F188" si="19">SUM(E185:E187)</f>
        <v>1750</v>
      </c>
      <c r="F188" s="431">
        <f t="shared" si="19"/>
        <v>2700</v>
      </c>
      <c r="G188" s="431">
        <f t="shared" ref="G188:H188" si="20">SUM(G185:G187)</f>
        <v>3850</v>
      </c>
      <c r="H188" s="431">
        <f t="shared" si="20"/>
        <v>950</v>
      </c>
      <c r="I188" s="431">
        <f>SUM(I185:I187)</f>
        <v>533</v>
      </c>
      <c r="J188" s="128"/>
      <c r="K188" s="129"/>
      <c r="L188" s="129"/>
    </row>
    <row r="189" spans="1:14" x14ac:dyDescent="0.25">
      <c r="A189" s="179"/>
      <c r="B189" s="445"/>
      <c r="C189" s="445"/>
      <c r="D189" s="445"/>
      <c r="E189" s="410"/>
      <c r="F189" s="410"/>
      <c r="G189" s="410"/>
      <c r="H189" s="410"/>
      <c r="I189" s="417"/>
    </row>
    <row r="190" spans="1:14" s="16" customFormat="1" x14ac:dyDescent="0.25">
      <c r="A190" s="197" t="s">
        <v>62</v>
      </c>
      <c r="B190" s="464"/>
      <c r="C190" s="457"/>
      <c r="D190" s="457"/>
      <c r="E190" s="422">
        <f>E166+E174+E182+E188</f>
        <v>23600</v>
      </c>
      <c r="F190" s="422">
        <f>F166+F174+F182+F188</f>
        <v>23865</v>
      </c>
      <c r="G190" s="422">
        <f>G166+G174+G182+G188</f>
        <v>21380</v>
      </c>
      <c r="H190" s="422">
        <f>H166+H174+H182+H188</f>
        <v>19490</v>
      </c>
      <c r="I190" s="422">
        <f>I166+I174+I182+I188</f>
        <v>26485.5</v>
      </c>
      <c r="J190" s="128"/>
      <c r="K190" s="129"/>
      <c r="L190" s="129"/>
    </row>
    <row r="191" spans="1:14" x14ac:dyDescent="0.25">
      <c r="A191" s="179"/>
      <c r="B191" s="445"/>
      <c r="C191" s="445"/>
      <c r="D191" s="445"/>
      <c r="E191" s="410"/>
      <c r="F191" s="410"/>
      <c r="G191" s="410"/>
      <c r="H191" s="410"/>
      <c r="I191" s="417"/>
    </row>
    <row r="192" spans="1:14" s="16" customFormat="1" x14ac:dyDescent="0.25">
      <c r="A192" s="203" t="s">
        <v>1316</v>
      </c>
      <c r="B192" s="443"/>
      <c r="C192" s="443"/>
      <c r="D192" s="443"/>
      <c r="E192" s="440"/>
      <c r="F192" s="440"/>
      <c r="G192" s="442"/>
      <c r="H192" s="440"/>
      <c r="I192" s="443"/>
      <c r="J192" s="128"/>
      <c r="K192" s="129"/>
      <c r="L192" s="129"/>
    </row>
    <row r="193" spans="1:12" s="16" customFormat="1" x14ac:dyDescent="0.25">
      <c r="A193" s="203"/>
      <c r="B193" s="443"/>
      <c r="C193" s="443"/>
      <c r="D193" s="443"/>
      <c r="E193" s="440"/>
      <c r="F193" s="440"/>
      <c r="G193" s="442"/>
      <c r="H193" s="440"/>
      <c r="I193" s="443"/>
      <c r="J193" s="128"/>
      <c r="K193" s="129"/>
      <c r="L193" s="129"/>
    </row>
    <row r="194" spans="1:12" x14ac:dyDescent="0.25">
      <c r="A194" s="179" t="s">
        <v>1307</v>
      </c>
      <c r="B194" s="445"/>
      <c r="C194" s="445"/>
      <c r="D194" s="445"/>
      <c r="E194" s="410">
        <v>20000</v>
      </c>
      <c r="F194" s="410">
        <v>20000</v>
      </c>
      <c r="G194" s="410">
        <v>20000</v>
      </c>
      <c r="H194" s="410">
        <v>20000</v>
      </c>
      <c r="I194" s="417">
        <v>20000</v>
      </c>
      <c r="J194" s="122" t="s">
        <v>123</v>
      </c>
    </row>
    <row r="195" spans="1:12" x14ac:dyDescent="0.25">
      <c r="A195" s="179" t="s">
        <v>1305</v>
      </c>
      <c r="B195" s="445"/>
      <c r="C195" s="445"/>
      <c r="D195" s="445"/>
      <c r="E195" s="410">
        <v>0</v>
      </c>
      <c r="F195" s="410">
        <v>3010</v>
      </c>
      <c r="G195" s="438">
        <v>6300</v>
      </c>
      <c r="H195" s="410">
        <v>6300</v>
      </c>
      <c r="I195" s="422">
        <v>6300</v>
      </c>
    </row>
    <row r="196" spans="1:12" x14ac:dyDescent="0.25">
      <c r="A196" s="188" t="s">
        <v>1308</v>
      </c>
      <c r="B196" s="456"/>
      <c r="C196" s="445"/>
      <c r="D196" s="445"/>
      <c r="E196" s="410">
        <v>3335</v>
      </c>
      <c r="F196" s="410">
        <v>3335</v>
      </c>
      <c r="G196" s="410">
        <v>3336</v>
      </c>
      <c r="H196" s="410">
        <v>3336</v>
      </c>
      <c r="I196" s="417">
        <v>3336</v>
      </c>
      <c r="K196" t="s">
        <v>1349</v>
      </c>
      <c r="L196"/>
    </row>
    <row r="197" spans="1:12" x14ac:dyDescent="0.25">
      <c r="A197" s="179" t="s">
        <v>1348</v>
      </c>
      <c r="B197" s="445"/>
      <c r="C197" s="445"/>
      <c r="D197" s="445"/>
      <c r="E197" s="410">
        <v>7500</v>
      </c>
      <c r="F197" s="410">
        <v>7500</v>
      </c>
      <c r="G197" s="410">
        <v>7500</v>
      </c>
      <c r="H197" s="410">
        <v>7500</v>
      </c>
      <c r="I197" s="417">
        <v>7500</v>
      </c>
      <c r="K197"/>
      <c r="L197"/>
    </row>
    <row r="198" spans="1:12" x14ac:dyDescent="0.25">
      <c r="A198" s="197" t="s">
        <v>1913</v>
      </c>
      <c r="B198" s="464"/>
      <c r="C198" s="445"/>
      <c r="D198" s="445"/>
      <c r="E198" s="438">
        <f t="shared" ref="E198:F198" si="21">SUM(E194:E197)</f>
        <v>30835</v>
      </c>
      <c r="F198" s="438">
        <f t="shared" si="21"/>
        <v>33845</v>
      </c>
      <c r="G198" s="438">
        <f t="shared" ref="G198:H198" si="22">SUM(G194:G197)</f>
        <v>37136</v>
      </c>
      <c r="H198" s="438">
        <f t="shared" si="22"/>
        <v>37136</v>
      </c>
      <c r="I198" s="438">
        <f>SUM(I194:I197)</f>
        <v>37136</v>
      </c>
    </row>
    <row r="199" spans="1:12" x14ac:dyDescent="0.25">
      <c r="A199" s="190"/>
      <c r="B199" s="457"/>
      <c r="C199" s="445"/>
      <c r="D199" s="445"/>
      <c r="E199" s="410"/>
      <c r="F199" s="410"/>
      <c r="G199" s="438"/>
      <c r="H199" s="410"/>
      <c r="I199" s="438"/>
    </row>
    <row r="200" spans="1:12" x14ac:dyDescent="0.25">
      <c r="A200" s="190" t="s">
        <v>1280</v>
      </c>
      <c r="B200" s="457"/>
      <c r="C200" s="445"/>
      <c r="D200" s="445"/>
      <c r="E200" s="438">
        <f>E81+E86+E103+E117+E127+E144+E151+E190+E198</f>
        <v>871335</v>
      </c>
      <c r="F200" s="438">
        <f>F81+F86+F103+F117+F127+F144+F151+F190+F198</f>
        <v>845681</v>
      </c>
      <c r="G200" s="438">
        <f>G81+G86+G103+G117+G127+G144+G151+G190+G198</f>
        <v>807366</v>
      </c>
      <c r="H200" s="438">
        <f>H81+H86+H103+H117+H127+H144+H151+H190+H198</f>
        <v>735460</v>
      </c>
      <c r="I200" s="438">
        <f>I81+I86+I103+I117+I127+I144+I151+I190+I198</f>
        <v>808831.38</v>
      </c>
    </row>
    <row r="201" spans="1:12" x14ac:dyDescent="0.25">
      <c r="A201" s="190"/>
      <c r="B201" s="457"/>
      <c r="C201" s="445"/>
      <c r="D201" s="445"/>
      <c r="E201" s="410"/>
      <c r="F201" s="410"/>
      <c r="G201" s="438"/>
      <c r="H201" s="410"/>
      <c r="I201" s="438"/>
    </row>
    <row r="202" spans="1:12" x14ac:dyDescent="0.25">
      <c r="A202" s="190"/>
      <c r="B202" s="457"/>
      <c r="C202" s="445"/>
      <c r="D202" s="445"/>
      <c r="E202" s="410"/>
      <c r="F202" s="410"/>
      <c r="G202" s="438"/>
      <c r="H202" s="410"/>
      <c r="I202" s="438"/>
    </row>
    <row r="203" spans="1:12" s="155" customFormat="1" x14ac:dyDescent="0.25">
      <c r="A203" s="205" t="s">
        <v>1324</v>
      </c>
      <c r="B203" s="467"/>
      <c r="C203" s="468"/>
      <c r="D203" s="468"/>
      <c r="E203" s="444">
        <f>E54-E200</f>
        <v>34355</v>
      </c>
      <c r="F203" s="444">
        <f>F54-F200</f>
        <v>33685</v>
      </c>
      <c r="G203" s="444">
        <f>G54-G200</f>
        <v>1413</v>
      </c>
      <c r="H203" s="444">
        <f>H54-H200</f>
        <v>57273</v>
      </c>
      <c r="I203" s="444">
        <f>I54-I200</f>
        <v>83448.62</v>
      </c>
      <c r="J203" s="153"/>
      <c r="K203" s="154" t="s">
        <v>1416</v>
      </c>
      <c r="L203" s="154"/>
    </row>
    <row r="204" spans="1:12" x14ac:dyDescent="0.25">
      <c r="A204" s="179"/>
      <c r="B204" s="445"/>
      <c r="C204" s="445"/>
      <c r="D204" s="445"/>
      <c r="E204" s="410"/>
      <c r="F204" s="410"/>
      <c r="G204" s="416"/>
      <c r="H204" s="410"/>
      <c r="I204" s="445"/>
    </row>
    <row r="205" spans="1:12" x14ac:dyDescent="0.25">
      <c r="A205" s="179" t="s">
        <v>373</v>
      </c>
      <c r="B205" s="445"/>
      <c r="C205" s="445"/>
      <c r="D205" s="445"/>
      <c r="E205" s="410"/>
      <c r="F205" s="410"/>
      <c r="G205" s="410"/>
      <c r="H205" s="410"/>
      <c r="I205" s="410"/>
    </row>
    <row r="206" spans="1:12" x14ac:dyDescent="0.25">
      <c r="A206" s="179" t="s">
        <v>270</v>
      </c>
      <c r="B206" s="445"/>
      <c r="C206" s="445">
        <v>5310</v>
      </c>
      <c r="D206" s="445"/>
      <c r="E206" s="410">
        <v>17000</v>
      </c>
      <c r="F206" s="410">
        <v>17000</v>
      </c>
      <c r="G206" s="410">
        <v>16000</v>
      </c>
      <c r="H206" s="410">
        <v>16000</v>
      </c>
      <c r="I206" s="410">
        <v>16484.87</v>
      </c>
    </row>
    <row r="207" spans="1:12" x14ac:dyDescent="0.25">
      <c r="A207" s="179" t="s">
        <v>374</v>
      </c>
      <c r="B207" s="445"/>
      <c r="C207" s="445">
        <v>5293</v>
      </c>
      <c r="D207" s="445"/>
      <c r="E207" s="410">
        <v>35000</v>
      </c>
      <c r="F207" s="410">
        <v>35000</v>
      </c>
      <c r="G207" s="410">
        <v>32000</v>
      </c>
      <c r="H207" s="410">
        <v>32000</v>
      </c>
      <c r="I207" s="440">
        <v>32049.34</v>
      </c>
    </row>
    <row r="208" spans="1:12" x14ac:dyDescent="0.25">
      <c r="A208" s="179" t="s">
        <v>272</v>
      </c>
      <c r="B208" s="445"/>
      <c r="C208" s="445">
        <v>5919</v>
      </c>
      <c r="D208" s="445"/>
      <c r="E208" s="410">
        <v>24000</v>
      </c>
      <c r="F208" s="410">
        <v>18000</v>
      </c>
      <c r="G208" s="410">
        <v>18000</v>
      </c>
      <c r="H208" s="410">
        <v>18000</v>
      </c>
      <c r="I208" s="410">
        <v>18007.169999999998</v>
      </c>
    </row>
    <row r="209" spans="1:12" x14ac:dyDescent="0.25">
      <c r="A209" s="179" t="s">
        <v>375</v>
      </c>
      <c r="B209" s="445"/>
      <c r="C209" s="445"/>
      <c r="D209" s="445"/>
      <c r="E209" s="410">
        <v>0</v>
      </c>
      <c r="F209" s="410">
        <v>0</v>
      </c>
      <c r="G209" s="410">
        <v>0</v>
      </c>
      <c r="H209" s="410">
        <v>0</v>
      </c>
      <c r="I209" s="410">
        <v>0</v>
      </c>
    </row>
    <row r="210" spans="1:12" x14ac:dyDescent="0.25">
      <c r="A210" s="179" t="s">
        <v>376</v>
      </c>
      <c r="B210" s="445"/>
      <c r="C210" s="445"/>
      <c r="D210" s="445"/>
      <c r="E210" s="410">
        <v>0</v>
      </c>
      <c r="F210" s="410">
        <v>0</v>
      </c>
      <c r="G210" s="410">
        <v>0</v>
      </c>
      <c r="H210" s="410">
        <v>0</v>
      </c>
      <c r="I210" s="410">
        <v>0</v>
      </c>
    </row>
    <row r="211" spans="1:12" x14ac:dyDescent="0.25">
      <c r="A211" s="179" t="s">
        <v>377</v>
      </c>
      <c r="B211" s="445"/>
      <c r="C211" s="445">
        <v>5895</v>
      </c>
      <c r="D211" s="445"/>
      <c r="E211" s="410">
        <v>16000</v>
      </c>
      <c r="F211" s="410">
        <v>16000</v>
      </c>
      <c r="G211" s="410">
        <v>10000</v>
      </c>
      <c r="H211" s="410">
        <v>15000</v>
      </c>
      <c r="I211" s="410">
        <v>14962.09</v>
      </c>
    </row>
    <row r="212" spans="1:12" x14ac:dyDescent="0.25">
      <c r="A212" s="179" t="s">
        <v>378</v>
      </c>
      <c r="B212" s="445"/>
      <c r="C212" s="458">
        <v>5105</v>
      </c>
      <c r="D212" s="458"/>
      <c r="E212" s="423">
        <v>8000</v>
      </c>
      <c r="F212" s="410">
        <v>5600</v>
      </c>
      <c r="G212" s="410">
        <v>5000</v>
      </c>
      <c r="H212" s="410">
        <v>5135</v>
      </c>
      <c r="I212" s="410">
        <v>5620</v>
      </c>
    </row>
    <row r="213" spans="1:12" s="16" customFormat="1" x14ac:dyDescent="0.25">
      <c r="A213" s="203" t="s">
        <v>379</v>
      </c>
      <c r="B213" s="443"/>
      <c r="C213" s="443"/>
      <c r="D213" s="443"/>
      <c r="E213" s="440">
        <f t="shared" ref="E213:F213" si="23">SUM(E206:E212)</f>
        <v>100000</v>
      </c>
      <c r="F213" s="440">
        <f t="shared" si="23"/>
        <v>91600</v>
      </c>
      <c r="G213" s="440">
        <f t="shared" ref="G213:H213" si="24">SUM(G206:G212)</f>
        <v>81000</v>
      </c>
      <c r="H213" s="440">
        <f t="shared" si="24"/>
        <v>86135</v>
      </c>
      <c r="I213" s="440">
        <f>SUM(I206:I212)</f>
        <v>87123.47</v>
      </c>
      <c r="J213" s="128"/>
      <c r="K213" s="129"/>
      <c r="L213" s="129" t="s">
        <v>1405</v>
      </c>
    </row>
    <row r="214" spans="1:12" x14ac:dyDescent="0.25">
      <c r="A214" s="179"/>
      <c r="B214" s="445"/>
      <c r="C214" s="445"/>
      <c r="D214" s="445"/>
      <c r="E214" s="410"/>
      <c r="F214" s="410"/>
      <c r="G214" s="416"/>
      <c r="H214" s="410"/>
      <c r="I214" s="445"/>
    </row>
    <row r="215" spans="1:12" x14ac:dyDescent="0.25">
      <c r="A215" s="206" t="s">
        <v>1415</v>
      </c>
      <c r="B215" s="469"/>
      <c r="C215" s="455"/>
      <c r="D215" s="455"/>
      <c r="E215" s="446">
        <f t="shared" ref="E215:F215" si="25">E203-E213</f>
        <v>-65645</v>
      </c>
      <c r="F215" s="446">
        <f t="shared" si="25"/>
        <v>-57915</v>
      </c>
      <c r="G215" s="446">
        <f t="shared" ref="G215:H215" si="26">G203-G213</f>
        <v>-79587</v>
      </c>
      <c r="H215" s="446">
        <f t="shared" si="26"/>
        <v>-28862</v>
      </c>
      <c r="I215" s="446">
        <f>I203-I213</f>
        <v>-3674.8500000000058</v>
      </c>
    </row>
    <row r="216" spans="1:12" x14ac:dyDescent="0.25">
      <c r="A216" s="179"/>
      <c r="B216" s="445"/>
      <c r="C216" s="445"/>
      <c r="D216" s="445"/>
      <c r="E216" s="410"/>
      <c r="F216" s="410"/>
      <c r="G216" s="416"/>
      <c r="H216" s="410"/>
      <c r="I216" s="445"/>
    </row>
    <row r="217" spans="1:12" ht="18.75" x14ac:dyDescent="0.3">
      <c r="A217" s="240" t="s">
        <v>1301</v>
      </c>
      <c r="B217" s="470"/>
      <c r="C217" s="445"/>
      <c r="D217" s="445"/>
      <c r="E217" s="410"/>
      <c r="F217" s="410"/>
      <c r="G217" s="416"/>
      <c r="H217" s="410"/>
      <c r="I217" s="445"/>
    </row>
    <row r="218" spans="1:12" x14ac:dyDescent="0.25">
      <c r="A218" s="179"/>
      <c r="B218" s="445"/>
      <c r="C218" s="445"/>
      <c r="D218" s="445"/>
      <c r="E218" s="410"/>
      <c r="F218" s="410"/>
      <c r="G218" s="416"/>
      <c r="H218" s="410"/>
      <c r="I218" s="445"/>
    </row>
    <row r="219" spans="1:12" x14ac:dyDescent="0.25">
      <c r="A219" s="179" t="s">
        <v>1323</v>
      </c>
      <c r="B219" s="445"/>
      <c r="C219" s="445"/>
      <c r="D219" s="445"/>
      <c r="E219" s="480">
        <v>134300</v>
      </c>
      <c r="F219" s="422">
        <v>105900</v>
      </c>
      <c r="G219" s="422">
        <v>60000</v>
      </c>
      <c r="H219" s="422">
        <v>42000</v>
      </c>
      <c r="I219" s="422">
        <f>I241</f>
        <v>153768</v>
      </c>
      <c r="K219" s="126" t="s">
        <v>1287</v>
      </c>
      <c r="L219" s="126" t="s">
        <v>1302</v>
      </c>
    </row>
    <row r="220" spans="1:12" x14ac:dyDescent="0.25">
      <c r="A220" s="179" t="s">
        <v>381</v>
      </c>
      <c r="B220" s="445"/>
      <c r="C220" s="445"/>
      <c r="D220" s="445"/>
      <c r="E220" s="410"/>
      <c r="F220" s="410">
        <v>0</v>
      </c>
      <c r="G220" s="438">
        <v>0</v>
      </c>
      <c r="H220" s="410">
        <v>0</v>
      </c>
      <c r="I220" s="422">
        <v>0</v>
      </c>
    </row>
    <row r="221" spans="1:12" s="16" customFormat="1" x14ac:dyDescent="0.25">
      <c r="A221" s="194" t="s">
        <v>1279</v>
      </c>
      <c r="B221" s="462"/>
      <c r="C221" s="443"/>
      <c r="D221" s="443"/>
      <c r="E221" s="422">
        <f t="shared" ref="E221:F221" si="27">SUM(E219:E220)</f>
        <v>134300</v>
      </c>
      <c r="F221" s="422">
        <f t="shared" si="27"/>
        <v>105900</v>
      </c>
      <c r="G221" s="422">
        <f t="shared" ref="G221:H221" si="28">SUM(G219:G220)</f>
        <v>60000</v>
      </c>
      <c r="H221" s="422">
        <f t="shared" si="28"/>
        <v>42000</v>
      </c>
      <c r="I221" s="422">
        <f>SUM(I219:I220)</f>
        <v>153768</v>
      </c>
      <c r="J221" s="128"/>
      <c r="K221" s="129"/>
      <c r="L221" s="129"/>
    </row>
    <row r="222" spans="1:12" x14ac:dyDescent="0.25">
      <c r="A222" s="179"/>
      <c r="B222" s="445"/>
      <c r="C222" s="445"/>
      <c r="D222" s="445"/>
      <c r="E222" s="410"/>
      <c r="F222" s="422"/>
      <c r="G222" s="422"/>
      <c r="H222" s="422"/>
      <c r="I222" s="422"/>
    </row>
    <row r="223" spans="1:12" x14ac:dyDescent="0.25">
      <c r="A223" s="206" t="s">
        <v>380</v>
      </c>
      <c r="B223" s="469"/>
      <c r="C223" s="455"/>
      <c r="D223" s="455"/>
      <c r="E223" s="446">
        <f>E215-E221</f>
        <v>-199945</v>
      </c>
      <c r="F223" s="446">
        <f>F215-F221</f>
        <v>-163815</v>
      </c>
      <c r="G223" s="446">
        <f>G215-G221</f>
        <v>-139587</v>
      </c>
      <c r="H223" s="446">
        <f>H215-H221</f>
        <v>-70862</v>
      </c>
      <c r="I223" s="446">
        <f>I215-I221</f>
        <v>-157442.85</v>
      </c>
    </row>
    <row r="224" spans="1:12" x14ac:dyDescent="0.25">
      <c r="A224" s="179"/>
      <c r="B224" s="445"/>
      <c r="C224" s="445"/>
      <c r="D224" s="445"/>
      <c r="E224" s="410"/>
      <c r="F224" s="410"/>
      <c r="G224" s="410"/>
      <c r="H224" s="410"/>
      <c r="I224" s="410"/>
    </row>
    <row r="225" spans="1:13" x14ac:dyDescent="0.25">
      <c r="A225" s="179"/>
      <c r="B225" s="445"/>
      <c r="C225" s="445"/>
      <c r="D225" s="445"/>
      <c r="E225" s="410"/>
      <c r="F225" s="410"/>
      <c r="G225" s="410"/>
      <c r="H225" s="410"/>
      <c r="I225" s="410"/>
      <c r="L225" s="126" t="s">
        <v>1406</v>
      </c>
      <c r="M225">
        <v>0</v>
      </c>
    </row>
    <row r="226" spans="1:13" s="16" customFormat="1" x14ac:dyDescent="0.25">
      <c r="A226" s="203"/>
      <c r="B226" s="443"/>
      <c r="C226" s="443"/>
      <c r="D226" s="443"/>
      <c r="E226" s="440"/>
      <c r="F226" s="440"/>
      <c r="G226" s="440"/>
      <c r="H226" s="440"/>
      <c r="I226" s="440"/>
      <c r="J226" s="128"/>
      <c r="K226" s="129"/>
      <c r="L226" s="129" t="s">
        <v>1407</v>
      </c>
      <c r="M226" s="16">
        <v>32049.34</v>
      </c>
    </row>
    <row r="227" spans="1:13" x14ac:dyDescent="0.25">
      <c r="A227" s="179"/>
      <c r="B227" s="445"/>
      <c r="C227" s="445"/>
      <c r="D227" s="445"/>
      <c r="E227" s="410"/>
      <c r="F227" s="410"/>
      <c r="G227" s="410"/>
      <c r="H227" s="410"/>
      <c r="I227" s="410"/>
      <c r="L227" s="126" t="s">
        <v>1408</v>
      </c>
      <c r="M227">
        <v>16484.87</v>
      </c>
    </row>
    <row r="228" spans="1:13" x14ac:dyDescent="0.25">
      <c r="A228" s="179"/>
      <c r="B228" s="445"/>
      <c r="C228" s="445"/>
      <c r="D228" s="445"/>
      <c r="E228" s="410"/>
      <c r="F228" s="410"/>
      <c r="G228" s="419"/>
      <c r="H228" s="410"/>
      <c r="I228" s="417"/>
      <c r="L228" s="126" t="s">
        <v>1409</v>
      </c>
      <c r="M228">
        <v>14962.09</v>
      </c>
    </row>
    <row r="229" spans="1:13" x14ac:dyDescent="0.25">
      <c r="A229" s="179" t="s">
        <v>392</v>
      </c>
      <c r="B229" s="445"/>
      <c r="C229" s="445">
        <v>4025</v>
      </c>
      <c r="D229" s="445"/>
      <c r="E229" s="410"/>
      <c r="F229" s="410"/>
      <c r="G229" s="410"/>
      <c r="H229" s="410"/>
      <c r="I229" s="417">
        <v>60000</v>
      </c>
      <c r="L229" s="126" t="s">
        <v>1410</v>
      </c>
      <c r="M229">
        <v>18007.169999999998</v>
      </c>
    </row>
    <row r="230" spans="1:13" x14ac:dyDescent="0.25">
      <c r="A230" s="179" t="s">
        <v>391</v>
      </c>
      <c r="B230" s="445"/>
      <c r="C230" s="458">
        <v>4600</v>
      </c>
      <c r="D230" s="458"/>
      <c r="E230" s="423"/>
      <c r="F230" s="410"/>
      <c r="G230" s="410"/>
      <c r="H230" s="410"/>
      <c r="I230" s="417">
        <v>17500</v>
      </c>
    </row>
    <row r="231" spans="1:13" x14ac:dyDescent="0.25">
      <c r="A231" s="179" t="s">
        <v>387</v>
      </c>
      <c r="B231" s="445"/>
      <c r="C231" s="445">
        <v>4300</v>
      </c>
      <c r="D231" s="445"/>
      <c r="E231" s="410"/>
      <c r="F231" s="410"/>
      <c r="G231" s="410"/>
      <c r="H231" s="410"/>
      <c r="I231" s="417">
        <v>47990</v>
      </c>
    </row>
    <row r="232" spans="1:13" x14ac:dyDescent="0.25">
      <c r="A232" s="179" t="s">
        <v>388</v>
      </c>
      <c r="B232" s="445"/>
      <c r="C232" s="445">
        <v>4300</v>
      </c>
      <c r="D232" s="445"/>
      <c r="E232" s="410"/>
      <c r="F232" s="410"/>
      <c r="G232" s="410">
        <v>18550</v>
      </c>
      <c r="H232" s="410"/>
      <c r="I232" s="417">
        <f>13398+46102</f>
        <v>59500</v>
      </c>
      <c r="K232" s="126" t="s">
        <v>1358</v>
      </c>
      <c r="L232" s="126" t="s">
        <v>266</v>
      </c>
      <c r="M232">
        <v>4045.5529999999999</v>
      </c>
    </row>
    <row r="233" spans="1:13" x14ac:dyDescent="0.25">
      <c r="A233" s="179" t="s">
        <v>401</v>
      </c>
      <c r="B233" s="445"/>
      <c r="C233" s="445">
        <v>4245</v>
      </c>
      <c r="D233" s="445"/>
      <c r="E233" s="410"/>
      <c r="F233" s="410"/>
      <c r="G233" s="410"/>
      <c r="H233" s="410"/>
      <c r="I233" s="417">
        <v>11460</v>
      </c>
      <c r="L233" s="126" t="s">
        <v>1411</v>
      </c>
    </row>
    <row r="234" spans="1:13" x14ac:dyDescent="0.25">
      <c r="A234" s="179" t="s">
        <v>1283</v>
      </c>
      <c r="B234" s="445"/>
      <c r="C234" s="445"/>
      <c r="D234" s="445"/>
      <c r="E234" s="410"/>
      <c r="F234" s="410"/>
      <c r="G234" s="410"/>
      <c r="H234" s="410"/>
      <c r="I234" s="417">
        <v>0</v>
      </c>
      <c r="M234">
        <v>85549.023000000001</v>
      </c>
    </row>
    <row r="235" spans="1:13" x14ac:dyDescent="0.25">
      <c r="A235" s="194" t="s">
        <v>1285</v>
      </c>
      <c r="B235" s="462"/>
      <c r="C235" s="443"/>
      <c r="D235" s="443"/>
      <c r="E235" s="431">
        <f>SUM(E228:E234)</f>
        <v>0</v>
      </c>
      <c r="F235" s="431">
        <f>SUM(F228:F234)</f>
        <v>0</v>
      </c>
      <c r="G235" s="431">
        <f>SUM(G228:G234)</f>
        <v>18550</v>
      </c>
      <c r="H235" s="431">
        <f>SUM(H228:H234)</f>
        <v>0</v>
      </c>
      <c r="I235" s="431">
        <f>SUM(I228:I234)</f>
        <v>196450</v>
      </c>
    </row>
    <row r="236" spans="1:13" x14ac:dyDescent="0.25">
      <c r="A236" s="179"/>
      <c r="B236" s="445"/>
      <c r="C236" s="445"/>
      <c r="D236" s="445"/>
      <c r="E236" s="410"/>
      <c r="F236" s="410"/>
      <c r="G236" s="410"/>
      <c r="H236" s="410"/>
      <c r="I236" s="410"/>
    </row>
    <row r="237" spans="1:13" x14ac:dyDescent="0.25">
      <c r="A237" s="179" t="s">
        <v>1282</v>
      </c>
      <c r="B237" s="445"/>
      <c r="C237" s="445"/>
      <c r="D237" s="445"/>
      <c r="E237" s="410"/>
      <c r="F237" s="410"/>
      <c r="G237" s="410"/>
      <c r="H237" s="410"/>
      <c r="I237" s="410">
        <v>323870</v>
      </c>
      <c r="L237" s="126">
        <v>8525</v>
      </c>
    </row>
    <row r="238" spans="1:13" x14ac:dyDescent="0.25">
      <c r="A238" s="179" t="s">
        <v>1281</v>
      </c>
      <c r="B238" s="445"/>
      <c r="C238" s="445"/>
      <c r="D238" s="445"/>
      <c r="E238" s="410"/>
      <c r="F238" s="410"/>
      <c r="G238" s="410"/>
      <c r="H238" s="410"/>
      <c r="I238" s="410">
        <v>26348</v>
      </c>
      <c r="K238" s="4"/>
      <c r="L238" s="126">
        <v>60863</v>
      </c>
    </row>
    <row r="239" spans="1:13" x14ac:dyDescent="0.25">
      <c r="A239" s="200" t="s">
        <v>1284</v>
      </c>
      <c r="B239" s="465"/>
      <c r="C239" s="445"/>
      <c r="D239" s="445"/>
      <c r="E239" s="410"/>
      <c r="F239" s="410"/>
      <c r="G239" s="410"/>
      <c r="H239" s="410"/>
      <c r="I239" s="410">
        <f>SUM(I237:I238)</f>
        <v>350218</v>
      </c>
      <c r="K239" s="4"/>
      <c r="L239" s="126">
        <v>4882</v>
      </c>
    </row>
    <row r="240" spans="1:13" x14ac:dyDescent="0.25">
      <c r="A240" s="179"/>
      <c r="B240" s="445"/>
      <c r="C240" s="445"/>
      <c r="D240" s="445"/>
      <c r="E240" s="410"/>
      <c r="F240" s="410"/>
      <c r="G240" s="410"/>
      <c r="H240" s="410"/>
      <c r="I240" s="410"/>
      <c r="K240" s="4"/>
      <c r="L240" s="126">
        <v>249600</v>
      </c>
    </row>
    <row r="241" spans="1:24" s="16" customFormat="1" x14ac:dyDescent="0.25">
      <c r="A241" s="203" t="s">
        <v>1286</v>
      </c>
      <c r="B241" s="443"/>
      <c r="C241" s="443"/>
      <c r="D241" s="443"/>
      <c r="E241" s="440">
        <f t="shared" ref="E241:F241" si="29">E239-E235</f>
        <v>0</v>
      </c>
      <c r="F241" s="440">
        <f t="shared" si="29"/>
        <v>0</v>
      </c>
      <c r="G241" s="440">
        <f t="shared" ref="G241:H241" si="30">G239-G235</f>
        <v>-18550</v>
      </c>
      <c r="H241" s="440">
        <f t="shared" si="30"/>
        <v>0</v>
      </c>
      <c r="I241" s="440">
        <f>I239-I235</f>
        <v>153768</v>
      </c>
      <c r="J241" s="128"/>
      <c r="K241" s="97"/>
      <c r="L241" s="129">
        <f>SUM(L237:L240)</f>
        <v>323870</v>
      </c>
    </row>
    <row r="242" spans="1:24" x14ac:dyDescent="0.25">
      <c r="A242" s="179"/>
      <c r="B242" s="445"/>
      <c r="C242" s="445"/>
      <c r="D242" s="445"/>
      <c r="E242" s="410"/>
      <c r="F242" s="410"/>
      <c r="G242" s="410"/>
      <c r="H242" s="410"/>
      <c r="I242" s="410"/>
      <c r="K242" s="4"/>
    </row>
    <row r="243" spans="1:24" x14ac:dyDescent="0.25">
      <c r="A243" s="179"/>
      <c r="B243" s="445"/>
      <c r="C243" s="445"/>
      <c r="D243" s="445"/>
      <c r="E243" s="410"/>
      <c r="F243" s="410"/>
      <c r="G243" s="410"/>
      <c r="H243" s="410"/>
      <c r="I243" s="410"/>
      <c r="K243" s="4"/>
    </row>
    <row r="244" spans="1:24" x14ac:dyDescent="0.25">
      <c r="A244" s="179"/>
      <c r="B244" s="445"/>
      <c r="C244" s="445"/>
      <c r="D244" s="445"/>
      <c r="E244" s="410"/>
      <c r="F244" s="410"/>
      <c r="G244" s="410"/>
      <c r="H244" s="410"/>
      <c r="I244" s="410"/>
      <c r="K244" s="4"/>
    </row>
    <row r="245" spans="1:24" x14ac:dyDescent="0.25">
      <c r="A245" s="179"/>
      <c r="B245" s="445"/>
      <c r="C245" s="445"/>
      <c r="D245" s="445"/>
      <c r="E245" s="410"/>
      <c r="F245" s="410"/>
      <c r="G245" s="410"/>
      <c r="H245" s="410"/>
      <c r="I245" s="410"/>
      <c r="K245" s="4"/>
    </row>
    <row r="246" spans="1:24" x14ac:dyDescent="0.25">
      <c r="A246" s="352" t="s">
        <v>1375</v>
      </c>
      <c r="B246" s="471"/>
      <c r="C246" s="471"/>
      <c r="D246" s="471"/>
      <c r="E246" s="447"/>
      <c r="F246" s="447"/>
      <c r="G246" s="447"/>
      <c r="H246" s="447"/>
      <c r="I246" s="447"/>
      <c r="J246" s="353"/>
      <c r="K246" s="353"/>
      <c r="L246" s="354"/>
      <c r="M246" s="355"/>
      <c r="N246" s="355"/>
      <c r="O246" s="355"/>
      <c r="P246" s="355"/>
      <c r="Q246" s="355"/>
      <c r="R246" s="355"/>
      <c r="S246" s="355"/>
      <c r="T246" s="355"/>
      <c r="U246" s="355"/>
      <c r="V246" s="355"/>
      <c r="W246" s="355"/>
      <c r="X246" s="355"/>
    </row>
    <row r="247" spans="1:24" x14ac:dyDescent="0.25">
      <c r="A247" s="179"/>
      <c r="B247" s="445"/>
      <c r="C247" s="445"/>
      <c r="D247" s="445"/>
      <c r="E247" s="411" t="s">
        <v>16</v>
      </c>
      <c r="F247" s="411" t="s">
        <v>16</v>
      </c>
      <c r="G247" s="412" t="s">
        <v>16</v>
      </c>
      <c r="H247" s="448" t="s">
        <v>120</v>
      </c>
      <c r="I247" s="413" t="s">
        <v>114</v>
      </c>
      <c r="L247" s="160" t="s">
        <v>1327</v>
      </c>
      <c r="M247" s="161">
        <v>172246</v>
      </c>
      <c r="N247" s="4">
        <v>183800</v>
      </c>
      <c r="O247" s="4">
        <v>0</v>
      </c>
      <c r="P247" s="4">
        <v>0</v>
      </c>
    </row>
    <row r="248" spans="1:24" x14ac:dyDescent="0.25">
      <c r="A248" s="179"/>
      <c r="B248" s="445"/>
      <c r="C248" s="445"/>
      <c r="D248" s="445"/>
      <c r="E248" s="411" t="s">
        <v>1531</v>
      </c>
      <c r="F248" s="411" t="s">
        <v>121</v>
      </c>
      <c r="G248" s="412" t="s">
        <v>17</v>
      </c>
      <c r="H248" s="411" t="s">
        <v>17</v>
      </c>
      <c r="I248" s="413" t="s">
        <v>19</v>
      </c>
      <c r="L248" s="160"/>
      <c r="M248" s="161">
        <f>M246-M247</f>
        <v>-172246</v>
      </c>
      <c r="N248" s="161">
        <f t="shared" ref="N248:P248" si="31">N246-N247</f>
        <v>-183800</v>
      </c>
      <c r="O248" s="161">
        <f t="shared" si="31"/>
        <v>0</v>
      </c>
      <c r="P248" s="161">
        <f t="shared" si="31"/>
        <v>0</v>
      </c>
    </row>
    <row r="249" spans="1:24" x14ac:dyDescent="0.25">
      <c r="A249" s="179" t="s">
        <v>1376</v>
      </c>
      <c r="B249" s="445"/>
      <c r="C249" s="445" t="s">
        <v>369</v>
      </c>
      <c r="D249" s="445"/>
      <c r="E249" s="410">
        <f>73800+47500+47500+3000</f>
        <v>171800</v>
      </c>
      <c r="F249" s="410">
        <v>139800</v>
      </c>
      <c r="G249" s="410">
        <v>169300</v>
      </c>
      <c r="H249" s="410">
        <v>117250</v>
      </c>
      <c r="I249" s="417">
        <f>40928+28909+28909+2333+1988+1098</f>
        <v>104165</v>
      </c>
      <c r="J249" s="125"/>
      <c r="K249" s="126">
        <v>5305</v>
      </c>
      <c r="L249" s="126">
        <v>5309</v>
      </c>
      <c r="M249">
        <v>5314</v>
      </c>
      <c r="N249">
        <v>5319</v>
      </c>
      <c r="O249">
        <v>5396</v>
      </c>
      <c r="Q249" t="s">
        <v>1374</v>
      </c>
    </row>
    <row r="250" spans="1:24" x14ac:dyDescent="0.25">
      <c r="A250" s="190" t="s">
        <v>1377</v>
      </c>
      <c r="B250" s="457"/>
      <c r="C250" s="445"/>
      <c r="D250" s="445"/>
      <c r="E250" s="410">
        <v>14000</v>
      </c>
      <c r="F250" s="410">
        <v>7500</v>
      </c>
      <c r="G250" s="410">
        <v>7000</v>
      </c>
      <c r="H250" s="410">
        <v>7000</v>
      </c>
      <c r="I250" s="417">
        <v>7000</v>
      </c>
    </row>
    <row r="251" spans="1:24" x14ac:dyDescent="0.25">
      <c r="A251" s="179" t="s">
        <v>1378</v>
      </c>
      <c r="B251" s="445"/>
      <c r="C251" s="445" t="s">
        <v>369</v>
      </c>
      <c r="D251" s="445"/>
      <c r="E251" s="410">
        <v>110000</v>
      </c>
      <c r="F251" s="410">
        <v>70000</v>
      </c>
      <c r="G251" s="410">
        <v>54300</v>
      </c>
      <c r="H251" s="410">
        <v>81774</v>
      </c>
      <c r="I251" s="417">
        <v>98066</v>
      </c>
      <c r="K251" s="126">
        <v>5803</v>
      </c>
      <c r="L251" s="126">
        <v>5827</v>
      </c>
      <c r="M251">
        <v>5830</v>
      </c>
    </row>
    <row r="252" spans="1:24" x14ac:dyDescent="0.25">
      <c r="A252" s="179" t="s">
        <v>1914</v>
      </c>
      <c r="B252" s="445"/>
      <c r="C252" s="458" t="s">
        <v>369</v>
      </c>
      <c r="D252" s="458"/>
      <c r="E252" s="423">
        <v>42000</v>
      </c>
      <c r="F252" s="410">
        <v>39000</v>
      </c>
      <c r="G252" s="417">
        <v>64300</v>
      </c>
      <c r="H252" s="410">
        <v>47644</v>
      </c>
      <c r="I252" s="417">
        <f>44710+26712</f>
        <v>71422</v>
      </c>
    </row>
    <row r="253" spans="1:24" x14ac:dyDescent="0.25">
      <c r="A253" s="179" t="s">
        <v>1915</v>
      </c>
      <c r="B253" s="445"/>
      <c r="C253" s="458"/>
      <c r="D253" s="458"/>
      <c r="E253" s="423">
        <v>27000</v>
      </c>
      <c r="F253" s="410">
        <v>33000</v>
      </c>
      <c r="G253" s="417"/>
      <c r="H253" s="410"/>
      <c r="I253" s="417"/>
    </row>
    <row r="254" spans="1:24" x14ac:dyDescent="0.25">
      <c r="A254" s="179" t="s">
        <v>1396</v>
      </c>
      <c r="B254" s="445"/>
      <c r="C254" s="458"/>
      <c r="D254" s="458"/>
      <c r="E254" s="423">
        <v>2500</v>
      </c>
      <c r="F254" s="410">
        <v>2400</v>
      </c>
      <c r="G254" s="417">
        <v>0</v>
      </c>
      <c r="H254" s="410">
        <v>2200</v>
      </c>
      <c r="I254" s="417">
        <v>0</v>
      </c>
    </row>
    <row r="255" spans="1:24" x14ac:dyDescent="0.25">
      <c r="A255" s="179" t="s">
        <v>1397</v>
      </c>
      <c r="B255" s="445"/>
      <c r="C255" s="458"/>
      <c r="D255" s="458"/>
      <c r="E255" s="423">
        <v>2000</v>
      </c>
      <c r="F255" s="410">
        <v>1800</v>
      </c>
      <c r="G255" s="417">
        <v>0</v>
      </c>
      <c r="H255" s="410">
        <v>1800</v>
      </c>
      <c r="I255" s="417">
        <v>0</v>
      </c>
    </row>
    <row r="256" spans="1:24" s="16" customFormat="1" x14ac:dyDescent="0.25">
      <c r="A256" s="194" t="s">
        <v>1916</v>
      </c>
      <c r="B256" s="443"/>
      <c r="C256" s="443"/>
      <c r="D256" s="443"/>
      <c r="E256" s="440">
        <f t="shared" ref="E256:F256" si="32">SUM(E249:E255)</f>
        <v>369300</v>
      </c>
      <c r="F256" s="440">
        <f t="shared" si="32"/>
        <v>293500</v>
      </c>
      <c r="G256" s="440">
        <f t="shared" ref="G256:H256" si="33">SUM(G249:G255)</f>
        <v>294900</v>
      </c>
      <c r="H256" s="440">
        <f t="shared" si="33"/>
        <v>257668</v>
      </c>
      <c r="I256" s="440">
        <f>SUM(I249:I255)</f>
        <v>280653</v>
      </c>
      <c r="J256" s="128"/>
      <c r="K256" s="97"/>
      <c r="L256" s="129"/>
    </row>
    <row r="257" spans="1:15" x14ac:dyDescent="0.25">
      <c r="A257" s="179" t="s">
        <v>1379</v>
      </c>
      <c r="B257" s="445"/>
      <c r="C257" s="445"/>
      <c r="D257" s="445"/>
      <c r="E257" s="410">
        <v>2000</v>
      </c>
      <c r="F257" s="410">
        <v>10000</v>
      </c>
      <c r="G257" s="410">
        <v>0</v>
      </c>
      <c r="H257" s="410">
        <v>20000</v>
      </c>
      <c r="I257" s="410">
        <v>42000</v>
      </c>
      <c r="K257" s="4"/>
    </row>
    <row r="258" spans="1:15" x14ac:dyDescent="0.25">
      <c r="A258" s="194" t="s">
        <v>1380</v>
      </c>
      <c r="B258" s="462"/>
      <c r="C258" s="443"/>
      <c r="D258" s="443"/>
      <c r="E258" s="440">
        <f t="shared" ref="E258:F258" si="34">SUM(E256:E257)</f>
        <v>371300</v>
      </c>
      <c r="F258" s="440">
        <f t="shared" si="34"/>
        <v>303500</v>
      </c>
      <c r="G258" s="440">
        <f t="shared" ref="G258:H258" si="35">SUM(G256:G257)</f>
        <v>294900</v>
      </c>
      <c r="H258" s="440">
        <f t="shared" si="35"/>
        <v>277668</v>
      </c>
      <c r="I258" s="440">
        <f>SUM(I256:I257)</f>
        <v>322653</v>
      </c>
      <c r="K258" s="4"/>
    </row>
    <row r="259" spans="1:15" x14ac:dyDescent="0.25">
      <c r="A259" s="200" t="s">
        <v>1381</v>
      </c>
      <c r="B259" s="465"/>
      <c r="C259" s="445"/>
      <c r="D259" s="445"/>
      <c r="E259" s="410"/>
      <c r="F259" s="410"/>
      <c r="G259" s="410"/>
      <c r="H259" s="410"/>
      <c r="I259" s="410"/>
      <c r="K259" s="4"/>
    </row>
    <row r="260" spans="1:15" x14ac:dyDescent="0.25">
      <c r="A260" s="179" t="s">
        <v>9</v>
      </c>
      <c r="B260" s="445"/>
      <c r="C260" s="445">
        <v>4030</v>
      </c>
      <c r="D260" s="445"/>
      <c r="E260" s="410">
        <v>5000</v>
      </c>
      <c r="F260" s="410">
        <v>0</v>
      </c>
      <c r="G260" s="410">
        <v>7000</v>
      </c>
      <c r="H260" s="410">
        <v>26800</v>
      </c>
      <c r="I260" s="417">
        <f>70453-8500-5000-4407-8780</f>
        <v>43766</v>
      </c>
      <c r="K260" s="126">
        <v>4030</v>
      </c>
      <c r="L260" s="126">
        <v>4050</v>
      </c>
      <c r="M260" s="4"/>
      <c r="N260" s="176">
        <f>11337.83+2494</f>
        <v>13831.83</v>
      </c>
      <c r="O260" t="s">
        <v>1354</v>
      </c>
    </row>
    <row r="261" spans="1:15" x14ac:dyDescent="0.25">
      <c r="A261" s="179" t="s">
        <v>1398</v>
      </c>
      <c r="B261" s="445"/>
      <c r="C261" s="458">
        <v>4190</v>
      </c>
      <c r="D261" s="458"/>
      <c r="E261" s="423">
        <v>5000</v>
      </c>
      <c r="F261" s="410">
        <v>4000</v>
      </c>
      <c r="G261" s="410">
        <v>14200</v>
      </c>
      <c r="H261" s="410">
        <v>8000</v>
      </c>
      <c r="I261" s="417">
        <f>4407+8780</f>
        <v>13187</v>
      </c>
      <c r="K261" s="126" t="s">
        <v>399</v>
      </c>
    </row>
    <row r="262" spans="1:15" x14ac:dyDescent="0.25">
      <c r="A262" s="179" t="s">
        <v>1395</v>
      </c>
      <c r="B262" s="445"/>
      <c r="C262" s="445"/>
      <c r="D262" s="445"/>
      <c r="E262" s="410">
        <v>5000</v>
      </c>
      <c r="F262" s="410">
        <v>5000</v>
      </c>
      <c r="G262" s="410">
        <v>5000</v>
      </c>
      <c r="H262" s="410">
        <v>5000</v>
      </c>
      <c r="I262" s="410">
        <v>5000</v>
      </c>
      <c r="K262" s="4"/>
    </row>
    <row r="263" spans="1:15" s="16" customFormat="1" x14ac:dyDescent="0.25">
      <c r="A263" s="203"/>
      <c r="B263" s="443"/>
      <c r="C263" s="443"/>
      <c r="D263" s="443"/>
      <c r="E263" s="440">
        <f t="shared" ref="E263:F263" si="36">SUM(E260:E262)</f>
        <v>15000</v>
      </c>
      <c r="F263" s="440">
        <f t="shared" si="36"/>
        <v>9000</v>
      </c>
      <c r="G263" s="440">
        <f t="shared" ref="G263:H263" si="37">SUM(G260:G262)</f>
        <v>26200</v>
      </c>
      <c r="H263" s="440">
        <f t="shared" si="37"/>
        <v>39800</v>
      </c>
      <c r="I263" s="440">
        <f>SUM(I260:I262)</f>
        <v>61953</v>
      </c>
      <c r="J263" s="128"/>
      <c r="K263" s="97"/>
      <c r="L263" s="129"/>
    </row>
    <row r="264" spans="1:15" x14ac:dyDescent="0.25">
      <c r="A264" s="179"/>
      <c r="B264" s="445"/>
      <c r="C264" s="445"/>
      <c r="D264" s="445"/>
      <c r="E264" s="410"/>
      <c r="F264" s="410"/>
      <c r="G264" s="410"/>
      <c r="H264" s="410"/>
      <c r="I264" s="410"/>
      <c r="K264" s="4"/>
    </row>
    <row r="265" spans="1:15" x14ac:dyDescent="0.25">
      <c r="A265" s="200" t="s">
        <v>1382</v>
      </c>
      <c r="B265" s="465"/>
      <c r="C265" s="445"/>
      <c r="D265" s="445"/>
      <c r="E265" s="440">
        <f t="shared" ref="E265:F265" si="38">SUM(E258-E263)</f>
        <v>356300</v>
      </c>
      <c r="F265" s="440">
        <f t="shared" si="38"/>
        <v>294500</v>
      </c>
      <c r="G265" s="440">
        <f t="shared" ref="G265:H265" si="39">SUM(G258-G263)</f>
        <v>268700</v>
      </c>
      <c r="H265" s="440">
        <f t="shared" si="39"/>
        <v>237868</v>
      </c>
      <c r="I265" s="440">
        <f>SUM(I258-I263)</f>
        <v>260700</v>
      </c>
      <c r="K265" s="4"/>
    </row>
    <row r="266" spans="1:15" x14ac:dyDescent="0.25">
      <c r="A266" s="179"/>
      <c r="B266" s="445"/>
      <c r="C266" s="445"/>
      <c r="D266" s="445"/>
      <c r="E266" s="410"/>
      <c r="F266" s="410"/>
      <c r="G266" s="410"/>
      <c r="H266" s="410"/>
      <c r="I266" s="410"/>
      <c r="K266" s="4"/>
    </row>
    <row r="267" spans="1:15" x14ac:dyDescent="0.25">
      <c r="G267" s="110"/>
      <c r="I267" s="110"/>
      <c r="K267" s="4"/>
    </row>
    <row r="268" spans="1:15" x14ac:dyDescent="0.25">
      <c r="G268" s="110"/>
      <c r="I268" s="110"/>
      <c r="K268" s="4"/>
    </row>
    <row r="269" spans="1:15" x14ac:dyDescent="0.25">
      <c r="G269" s="110"/>
      <c r="I269" s="110"/>
      <c r="K269" s="4"/>
    </row>
    <row r="270" spans="1:15" x14ac:dyDescent="0.25">
      <c r="G270" s="110"/>
      <c r="I270" s="110"/>
      <c r="K270" s="4"/>
    </row>
    <row r="271" spans="1:15" x14ac:dyDescent="0.25">
      <c r="G271" s="110"/>
      <c r="I271" s="110"/>
      <c r="K271" s="4"/>
    </row>
    <row r="272" spans="1:15" x14ac:dyDescent="0.25">
      <c r="G272" s="110"/>
      <c r="I272" s="110"/>
      <c r="K272" s="4"/>
    </row>
    <row r="273" spans="7:11" x14ac:dyDescent="0.25">
      <c r="G273" s="110"/>
      <c r="I273" s="110"/>
      <c r="K273" s="4"/>
    </row>
    <row r="274" spans="7:11" x14ac:dyDescent="0.25">
      <c r="G274" s="110"/>
      <c r="I274" s="110"/>
      <c r="K274" s="4"/>
    </row>
    <row r="275" spans="7:11" x14ac:dyDescent="0.25">
      <c r="G275" s="110"/>
      <c r="I275" s="110"/>
      <c r="K275" s="4"/>
    </row>
    <row r="276" spans="7:11" x14ac:dyDescent="0.25">
      <c r="G276" s="110"/>
      <c r="I276" s="110"/>
      <c r="K276" s="4"/>
    </row>
    <row r="277" spans="7:11" x14ac:dyDescent="0.25">
      <c r="G277" s="110"/>
      <c r="I277" s="110"/>
      <c r="K277" s="4"/>
    </row>
    <row r="278" spans="7:11" x14ac:dyDescent="0.25">
      <c r="G278" s="110"/>
      <c r="I278" s="110"/>
      <c r="K278" s="4"/>
    </row>
    <row r="279" spans="7:11" x14ac:dyDescent="0.25">
      <c r="G279" s="110"/>
      <c r="I279" s="110"/>
      <c r="K279" s="4"/>
    </row>
    <row r="280" spans="7:11" x14ac:dyDescent="0.25">
      <c r="G280" s="110"/>
      <c r="I280" s="110"/>
      <c r="K280" s="4"/>
    </row>
    <row r="281" spans="7:11" x14ac:dyDescent="0.25">
      <c r="G281" s="110"/>
      <c r="I281" s="110"/>
      <c r="K281" s="4"/>
    </row>
    <row r="282" spans="7:11" x14ac:dyDescent="0.25">
      <c r="G282" s="110"/>
      <c r="I282" s="110"/>
      <c r="K282" s="4"/>
    </row>
    <row r="283" spans="7:11" x14ac:dyDescent="0.25">
      <c r="G283" s="110"/>
      <c r="I283" s="110"/>
      <c r="K283" s="4"/>
    </row>
    <row r="284" spans="7:11" x14ac:dyDescent="0.25">
      <c r="G284" s="110"/>
      <c r="I284" s="110"/>
      <c r="K284" s="4"/>
    </row>
    <row r="285" spans="7:11" x14ac:dyDescent="0.25">
      <c r="G285" s="110"/>
      <c r="I285" s="110"/>
      <c r="K285" s="4"/>
    </row>
    <row r="286" spans="7:11" x14ac:dyDescent="0.25">
      <c r="G286" s="110"/>
      <c r="I286" s="110"/>
      <c r="K286" s="4"/>
    </row>
    <row r="287" spans="7:11" x14ac:dyDescent="0.25">
      <c r="G287" s="110"/>
      <c r="I287" s="110"/>
      <c r="K287" s="4"/>
    </row>
    <row r="288" spans="7:11" x14ac:dyDescent="0.25">
      <c r="G288" s="110"/>
      <c r="I288" s="110"/>
      <c r="K288" s="4"/>
    </row>
    <row r="289" spans="7:14" x14ac:dyDescent="0.25">
      <c r="G289" s="110"/>
      <c r="I289" s="110"/>
      <c r="K289" s="4"/>
    </row>
    <row r="290" spans="7:14" x14ac:dyDescent="0.25">
      <c r="G290" s="110"/>
      <c r="I290" s="110"/>
      <c r="K290" s="4"/>
    </row>
    <row r="291" spans="7:14" x14ac:dyDescent="0.25">
      <c r="G291" s="110"/>
      <c r="I291" s="110"/>
      <c r="K291" s="4"/>
    </row>
    <row r="292" spans="7:14" x14ac:dyDescent="0.25">
      <c r="G292" s="110"/>
      <c r="I292" s="110"/>
      <c r="K292" s="4"/>
    </row>
    <row r="293" spans="7:14" x14ac:dyDescent="0.25">
      <c r="G293" s="110"/>
      <c r="I293" s="110"/>
      <c r="K293" s="4"/>
    </row>
    <row r="294" spans="7:14" x14ac:dyDescent="0.25">
      <c r="G294" s="110"/>
      <c r="I294" s="110"/>
      <c r="K294" s="4"/>
    </row>
    <row r="295" spans="7:14" x14ac:dyDescent="0.25">
      <c r="G295" s="110"/>
      <c r="I295" s="110"/>
      <c r="K295" s="4"/>
    </row>
    <row r="296" spans="7:14" x14ac:dyDescent="0.25">
      <c r="G296" s="110"/>
      <c r="I296" s="110"/>
      <c r="K296" s="4"/>
    </row>
    <row r="297" spans="7:14" x14ac:dyDescent="0.25">
      <c r="G297" s="110"/>
      <c r="I297" s="110"/>
      <c r="K297" s="4"/>
    </row>
    <row r="298" spans="7:14" x14ac:dyDescent="0.25">
      <c r="G298" s="110"/>
      <c r="I298" s="110"/>
      <c r="K298" s="4"/>
      <c r="L298" s="364"/>
      <c r="M298" s="365" t="s">
        <v>16</v>
      </c>
      <c r="N298" s="366" t="s">
        <v>16</v>
      </c>
    </row>
    <row r="299" spans="7:14" x14ac:dyDescent="0.25">
      <c r="G299" s="110"/>
      <c r="I299" s="110"/>
      <c r="K299" s="4"/>
      <c r="L299" s="367" t="s">
        <v>3</v>
      </c>
      <c r="M299" s="365" t="s">
        <v>121</v>
      </c>
      <c r="N299" s="366" t="s">
        <v>17</v>
      </c>
    </row>
    <row r="300" spans="7:14" x14ac:dyDescent="0.25">
      <c r="G300" s="110"/>
      <c r="I300" s="110"/>
      <c r="K300" s="4"/>
      <c r="L300" s="368" t="s">
        <v>1326</v>
      </c>
      <c r="M300" s="369">
        <v>118600</v>
      </c>
      <c r="N300" s="369">
        <v>117700</v>
      </c>
    </row>
    <row r="301" spans="7:14" x14ac:dyDescent="0.25">
      <c r="G301" s="110"/>
      <c r="I301" s="110"/>
      <c r="K301" s="4"/>
      <c r="L301" s="368" t="s">
        <v>1327</v>
      </c>
      <c r="M301" s="369">
        <v>177400</v>
      </c>
      <c r="N301" s="369">
        <v>183800</v>
      </c>
    </row>
    <row r="302" spans="7:14" x14ac:dyDescent="0.25">
      <c r="G302" s="110"/>
      <c r="I302" s="110"/>
      <c r="K302" s="4"/>
      <c r="L302" s="368"/>
      <c r="M302" s="370">
        <f>M300-M301</f>
        <v>-58800</v>
      </c>
      <c r="N302" s="370">
        <f t="shared" ref="N302" si="40">N300-N301</f>
        <v>-66100</v>
      </c>
    </row>
    <row r="303" spans="7:14" x14ac:dyDescent="0.25">
      <c r="G303" s="110"/>
      <c r="I303" s="110"/>
      <c r="K303" s="4"/>
    </row>
    <row r="304" spans="7:14" x14ac:dyDescent="0.25">
      <c r="G304" s="110"/>
      <c r="I304" s="110"/>
      <c r="K304" s="4"/>
    </row>
    <row r="305" spans="7:11" x14ac:dyDescent="0.25">
      <c r="G305" s="110"/>
      <c r="I305" s="110"/>
      <c r="K305" s="4"/>
    </row>
    <row r="306" spans="7:11" x14ac:dyDescent="0.25">
      <c r="G306" s="110"/>
      <c r="I306" s="110"/>
      <c r="K306" s="4"/>
    </row>
    <row r="307" spans="7:11" x14ac:dyDescent="0.25">
      <c r="G307" s="110"/>
      <c r="I307" s="110"/>
      <c r="K307" s="4"/>
    </row>
    <row r="308" spans="7:11" x14ac:dyDescent="0.25">
      <c r="G308" s="110"/>
      <c r="I308" s="110"/>
      <c r="K308" s="4"/>
    </row>
    <row r="309" spans="7:11" x14ac:dyDescent="0.25">
      <c r="G309" s="110"/>
      <c r="I309" s="110"/>
      <c r="K309" s="4"/>
    </row>
    <row r="310" spans="7:11" x14ac:dyDescent="0.25">
      <c r="G310" s="110"/>
      <c r="I310" s="110"/>
      <c r="K310" s="4"/>
    </row>
    <row r="311" spans="7:11" x14ac:dyDescent="0.25">
      <c r="G311" s="110"/>
      <c r="I311" s="110"/>
      <c r="K311" s="4"/>
    </row>
    <row r="312" spans="7:11" x14ac:dyDescent="0.25">
      <c r="G312" s="110"/>
      <c r="I312" s="110"/>
      <c r="K312" s="4"/>
    </row>
    <row r="313" spans="7:11" x14ac:dyDescent="0.25">
      <c r="G313" s="110"/>
      <c r="I313" s="110"/>
      <c r="K313" s="4"/>
    </row>
    <row r="314" spans="7:11" x14ac:dyDescent="0.25">
      <c r="G314" s="110"/>
      <c r="I314" s="110"/>
      <c r="K314" s="4"/>
    </row>
    <row r="315" spans="7:11" x14ac:dyDescent="0.25">
      <c r="G315" s="110"/>
      <c r="I315" s="110"/>
      <c r="K315" s="4"/>
    </row>
    <row r="316" spans="7:11" x14ac:dyDescent="0.25">
      <c r="G316" s="110"/>
      <c r="I316" s="110"/>
      <c r="K316" s="4"/>
    </row>
    <row r="317" spans="7:11" x14ac:dyDescent="0.25">
      <c r="G317" s="110"/>
      <c r="I317" s="110"/>
      <c r="K317" s="4"/>
    </row>
    <row r="318" spans="7:11" x14ac:dyDescent="0.25">
      <c r="G318" s="110"/>
      <c r="I318" s="110"/>
      <c r="K318" s="4"/>
    </row>
    <row r="319" spans="7:11" x14ac:dyDescent="0.25">
      <c r="G319" s="110"/>
      <c r="I319" s="110"/>
      <c r="K319" s="4"/>
    </row>
    <row r="320" spans="7:11" x14ac:dyDescent="0.25">
      <c r="G320" s="110"/>
      <c r="I320" s="110"/>
      <c r="K320" s="4"/>
    </row>
    <row r="321" spans="7:11" x14ac:dyDescent="0.25">
      <c r="G321" s="110"/>
      <c r="I321" s="110"/>
      <c r="K321" s="4"/>
    </row>
    <row r="322" spans="7:11" x14ac:dyDescent="0.25">
      <c r="G322" s="110"/>
      <c r="I322" s="110"/>
      <c r="K322" s="4"/>
    </row>
    <row r="323" spans="7:11" x14ac:dyDescent="0.25">
      <c r="G323" s="110"/>
      <c r="I323" s="110"/>
      <c r="K323" s="4"/>
    </row>
    <row r="324" spans="7:11" x14ac:dyDescent="0.25">
      <c r="G324" s="110"/>
      <c r="I324" s="110"/>
      <c r="K324" s="4"/>
    </row>
    <row r="325" spans="7:11" x14ac:dyDescent="0.25">
      <c r="G325" s="110"/>
      <c r="I325" s="110"/>
      <c r="K325" s="4"/>
    </row>
    <row r="326" spans="7:11" x14ac:dyDescent="0.25">
      <c r="G326" s="110"/>
      <c r="I326" s="110"/>
      <c r="K326" s="4"/>
    </row>
    <row r="327" spans="7:11" x14ac:dyDescent="0.25">
      <c r="G327" s="110"/>
      <c r="I327" s="110"/>
      <c r="K327" s="4"/>
    </row>
    <row r="328" spans="7:11" x14ac:dyDescent="0.25">
      <c r="G328" s="110"/>
      <c r="I328" s="110"/>
      <c r="K328" s="4"/>
    </row>
    <row r="329" spans="7:11" x14ac:dyDescent="0.25">
      <c r="G329" s="110"/>
      <c r="I329" s="110"/>
      <c r="K329" s="4"/>
    </row>
    <row r="330" spans="7:11" x14ac:dyDescent="0.25">
      <c r="G330" s="110"/>
      <c r="I330" s="110"/>
      <c r="K330" s="4"/>
    </row>
    <row r="331" spans="7:11" x14ac:dyDescent="0.25">
      <c r="G331" s="110"/>
      <c r="I331" s="110"/>
      <c r="K331" s="4"/>
    </row>
    <row r="332" spans="7:11" x14ac:dyDescent="0.25">
      <c r="G332" s="110"/>
      <c r="I332" s="110"/>
      <c r="K332" s="4"/>
    </row>
    <row r="333" spans="7:11" x14ac:dyDescent="0.25">
      <c r="G333" s="110"/>
      <c r="I333" s="110"/>
      <c r="K333" s="4"/>
    </row>
    <row r="334" spans="7:11" x14ac:dyDescent="0.25">
      <c r="G334" s="110"/>
      <c r="I334" s="110"/>
      <c r="K334" s="4"/>
    </row>
    <row r="335" spans="7:11" x14ac:dyDescent="0.25">
      <c r="G335" s="110"/>
      <c r="I335" s="110"/>
      <c r="K335" s="4"/>
    </row>
    <row r="336" spans="7:11" x14ac:dyDescent="0.25">
      <c r="G336" s="110"/>
      <c r="I336" s="110"/>
      <c r="K336" s="4"/>
    </row>
    <row r="337" spans="7:11" x14ac:dyDescent="0.25">
      <c r="G337" s="110"/>
      <c r="I337" s="110"/>
      <c r="K337" s="4"/>
    </row>
    <row r="338" spans="7:11" x14ac:dyDescent="0.25">
      <c r="G338" s="110"/>
      <c r="I338" s="110"/>
      <c r="K338" s="4"/>
    </row>
    <row r="339" spans="7:11" x14ac:dyDescent="0.25">
      <c r="G339" s="110"/>
      <c r="I339" s="110"/>
      <c r="K339" s="4"/>
    </row>
    <row r="340" spans="7:11" x14ac:dyDescent="0.25">
      <c r="G340" s="110"/>
      <c r="I340" s="110"/>
      <c r="K340" s="4"/>
    </row>
    <row r="341" spans="7:11" x14ac:dyDescent="0.25">
      <c r="G341" s="110"/>
      <c r="I341" s="110"/>
      <c r="K341" s="4"/>
    </row>
    <row r="342" spans="7:11" x14ac:dyDescent="0.25">
      <c r="G342" s="110"/>
      <c r="I342" s="110"/>
      <c r="K342" s="4"/>
    </row>
    <row r="343" spans="7:11" x14ac:dyDescent="0.25">
      <c r="G343" s="110"/>
      <c r="I343" s="110"/>
      <c r="K343" s="4"/>
    </row>
    <row r="344" spans="7:11" x14ac:dyDescent="0.25">
      <c r="G344" s="110"/>
      <c r="I344" s="110"/>
      <c r="K344" s="4"/>
    </row>
    <row r="345" spans="7:11" x14ac:dyDescent="0.25">
      <c r="G345" s="110"/>
      <c r="I345" s="110"/>
      <c r="K345" s="4"/>
    </row>
    <row r="346" spans="7:11" x14ac:dyDescent="0.25">
      <c r="G346" s="110"/>
      <c r="I346" s="110"/>
      <c r="K346" s="4"/>
    </row>
    <row r="347" spans="7:11" x14ac:dyDescent="0.25">
      <c r="G347" s="110"/>
      <c r="I347" s="110"/>
      <c r="K347" s="4"/>
    </row>
  </sheetData>
  <sortState xmlns:xlrd2="http://schemas.microsoft.com/office/spreadsheetml/2017/richdata2" ref="A14:X25">
    <sortCondition ref="B14:B25"/>
    <sortCondition ref="A14:A25"/>
  </sortState>
  <phoneticPr fontId="8" type="noConversion"/>
  <printOptions headings="1"/>
  <pageMargins left="0.70866141732283472" right="0.70866141732283472" top="0.31496062992125984" bottom="0.31496062992125984" header="0.31496062992125984" footer="0.31496062992125984"/>
  <pageSetup paperSize="3" scale="92" orientation="portrait" r:id="rId1"/>
  <headerFooter>
    <oddFooter>&amp;L&amp;F</oddFooter>
  </headerFooter>
  <rowBreaks count="2" manualBreakCount="2">
    <brk id="82" max="5" man="1"/>
    <brk id="152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4766-E4E0-4925-8759-685461812ECA}">
  <dimension ref="A1:V152"/>
  <sheetViews>
    <sheetView topLeftCell="A2" workbookViewId="0">
      <selection activeCell="F10" sqref="F10"/>
    </sheetView>
  </sheetViews>
  <sheetFormatPr defaultRowHeight="15" x14ac:dyDescent="0.25"/>
  <cols>
    <col min="1" max="1" width="27" customWidth="1"/>
    <col min="2" max="2" width="17.28515625" customWidth="1"/>
    <col min="4" max="4" width="18.5703125" customWidth="1"/>
    <col min="5" max="5" width="15.7109375" customWidth="1"/>
    <col min="6" max="6" width="25.140625" customWidth="1"/>
    <col min="9" max="9" width="23.85546875" customWidth="1"/>
    <col min="10" max="10" width="19.42578125" customWidth="1"/>
    <col min="12" max="12" width="10.5703125" bestFit="1" customWidth="1"/>
    <col min="17" max="17" width="32.5703125" customWidth="1"/>
    <col min="18" max="21" width="13.42578125" bestFit="1" customWidth="1"/>
  </cols>
  <sheetData>
    <row r="1" spans="1:21" x14ac:dyDescent="0.25">
      <c r="A1" s="228"/>
      <c r="B1" s="228"/>
      <c r="C1" s="228"/>
      <c r="D1" s="374" t="s">
        <v>16</v>
      </c>
      <c r="E1" s="221" t="s">
        <v>16</v>
      </c>
    </row>
    <row r="2" spans="1:21" x14ac:dyDescent="0.25">
      <c r="A2" s="228"/>
      <c r="B2" s="376" t="s">
        <v>1532</v>
      </c>
      <c r="C2" s="376" t="s">
        <v>1533</v>
      </c>
      <c r="D2" s="374" t="s">
        <v>1531</v>
      </c>
      <c r="E2" s="221" t="s">
        <v>121</v>
      </c>
    </row>
    <row r="3" spans="1:21" ht="18.75" x14ac:dyDescent="0.3">
      <c r="A3" s="239" t="s">
        <v>1</v>
      </c>
      <c r="B3" s="239"/>
      <c r="C3" s="179"/>
      <c r="D3" s="181"/>
      <c r="E3" s="181"/>
    </row>
    <row r="4" spans="1:21" ht="15.75" x14ac:dyDescent="0.25">
      <c r="A4" s="179"/>
      <c r="B4" s="179"/>
      <c r="C4" s="179"/>
      <c r="D4" s="181"/>
      <c r="E4" s="181"/>
      <c r="P4" s="13" t="s">
        <v>1671</v>
      </c>
      <c r="Q4" s="13"/>
      <c r="R4" s="13"/>
      <c r="S4" s="13"/>
      <c r="T4" s="13"/>
      <c r="U4" s="13"/>
    </row>
    <row r="5" spans="1:21" ht="15.75" x14ac:dyDescent="0.25">
      <c r="A5" s="179" t="s">
        <v>7</v>
      </c>
      <c r="B5" s="179"/>
      <c r="C5" s="179"/>
      <c r="D5" s="181">
        <v>0</v>
      </c>
      <c r="E5" s="181">
        <v>0</v>
      </c>
      <c r="P5" s="13" t="s">
        <v>1672</v>
      </c>
      <c r="Q5" s="13"/>
      <c r="R5" s="13"/>
      <c r="S5" s="13"/>
      <c r="T5" s="13"/>
      <c r="U5" s="13"/>
    </row>
    <row r="6" spans="1:21" ht="15.75" x14ac:dyDescent="0.25">
      <c r="A6" s="179" t="s">
        <v>349</v>
      </c>
      <c r="B6" s="179">
        <v>11000</v>
      </c>
      <c r="C6" s="179"/>
      <c r="D6" s="181">
        <v>0</v>
      </c>
      <c r="E6" s="181">
        <v>0</v>
      </c>
      <c r="P6" s="13" t="s">
        <v>357</v>
      </c>
      <c r="Q6" s="13"/>
      <c r="R6" s="13"/>
      <c r="S6" s="13"/>
      <c r="T6" s="13"/>
      <c r="U6" s="13"/>
    </row>
    <row r="7" spans="1:21" ht="14.25" customHeight="1" x14ac:dyDescent="0.25">
      <c r="A7" s="179" t="s">
        <v>4</v>
      </c>
      <c r="B7" s="179">
        <v>11000</v>
      </c>
      <c r="C7" s="179"/>
      <c r="D7" s="181">
        <v>507048</v>
      </c>
      <c r="E7" s="181">
        <v>475166</v>
      </c>
      <c r="P7" s="381"/>
      <c r="Q7" s="381"/>
      <c r="R7" s="382" t="s">
        <v>1673</v>
      </c>
      <c r="S7" s="381"/>
      <c r="T7" s="382" t="s">
        <v>1674</v>
      </c>
      <c r="U7" s="17"/>
    </row>
    <row r="8" spans="1:21" ht="14.25" customHeight="1" x14ac:dyDescent="0.25">
      <c r="A8" s="179"/>
      <c r="B8" s="179"/>
      <c r="C8" s="179"/>
      <c r="D8" s="181"/>
      <c r="E8" s="181"/>
      <c r="P8" s="383" t="s">
        <v>124</v>
      </c>
      <c r="Q8" s="384" t="s">
        <v>125</v>
      </c>
      <c r="R8" s="383" t="s">
        <v>354</v>
      </c>
      <c r="S8" s="383" t="s">
        <v>355</v>
      </c>
      <c r="T8" s="383" t="s">
        <v>354</v>
      </c>
      <c r="U8" s="383" t="s">
        <v>355</v>
      </c>
    </row>
    <row r="9" spans="1:21" ht="14.25" customHeight="1" x14ac:dyDescent="0.25">
      <c r="A9" s="179"/>
      <c r="B9" s="179"/>
      <c r="C9" s="179"/>
      <c r="D9" s="181"/>
      <c r="E9" s="181"/>
      <c r="J9" s="380" t="s">
        <v>1647</v>
      </c>
      <c r="K9" t="s">
        <v>1648</v>
      </c>
      <c r="L9" t="s">
        <v>204</v>
      </c>
      <c r="M9" t="s">
        <v>1649</v>
      </c>
      <c r="P9" s="7"/>
      <c r="Q9" s="8"/>
      <c r="R9" s="9"/>
      <c r="S9" s="9"/>
      <c r="T9" s="9"/>
      <c r="U9" s="9"/>
    </row>
    <row r="10" spans="1:21" ht="15.75" x14ac:dyDescent="0.25">
      <c r="A10" s="207" t="s">
        <v>5</v>
      </c>
      <c r="B10" s="207">
        <v>12000</v>
      </c>
      <c r="C10" s="179">
        <v>4010</v>
      </c>
      <c r="D10" s="181">
        <v>118000</v>
      </c>
      <c r="E10" s="181">
        <v>113000</v>
      </c>
      <c r="H10" s="377" t="s">
        <v>1534</v>
      </c>
      <c r="I10" s="378" t="s">
        <v>1535</v>
      </c>
      <c r="J10" s="379">
        <v>500582.32</v>
      </c>
      <c r="K10" s="4">
        <f>49578+49578</f>
        <v>99156</v>
      </c>
      <c r="L10" s="4">
        <f>J10+K10</f>
        <v>599738.32000000007</v>
      </c>
      <c r="M10" s="4">
        <f>D7+D10</f>
        <v>625048</v>
      </c>
      <c r="N10" s="4"/>
      <c r="P10" s="7" t="s">
        <v>1675</v>
      </c>
      <c r="Q10" s="8" t="s">
        <v>1676</v>
      </c>
      <c r="R10" s="9">
        <v>0</v>
      </c>
      <c r="S10" s="9">
        <v>0</v>
      </c>
      <c r="T10" s="9">
        <v>0</v>
      </c>
      <c r="U10" s="9">
        <v>130.43</v>
      </c>
    </row>
    <row r="11" spans="1:21" ht="15.75" x14ac:dyDescent="0.25">
      <c r="A11" s="207"/>
      <c r="B11" s="207"/>
      <c r="C11" s="179"/>
      <c r="D11" s="181">
        <v>7200</v>
      </c>
      <c r="E11" s="181">
        <v>9300</v>
      </c>
      <c r="H11" s="377"/>
      <c r="I11" s="378"/>
      <c r="J11" s="379"/>
      <c r="K11" s="4"/>
      <c r="L11" s="4"/>
      <c r="M11" s="4"/>
      <c r="N11" s="4"/>
      <c r="P11" s="7"/>
      <c r="Q11" s="8"/>
      <c r="R11" s="9"/>
      <c r="S11" s="9"/>
      <c r="T11" s="9"/>
      <c r="U11" s="9"/>
    </row>
    <row r="12" spans="1:21" ht="15.75" x14ac:dyDescent="0.25">
      <c r="A12" s="179" t="s">
        <v>347</v>
      </c>
      <c r="B12" s="179">
        <v>12000</v>
      </c>
      <c r="C12" s="188">
        <v>4020</v>
      </c>
      <c r="D12" s="189">
        <v>25000</v>
      </c>
      <c r="E12" s="209">
        <v>27900</v>
      </c>
      <c r="H12" s="377" t="s">
        <v>1536</v>
      </c>
      <c r="I12" s="378" t="s">
        <v>1537</v>
      </c>
      <c r="J12" s="379">
        <v>0</v>
      </c>
      <c r="K12" s="4"/>
      <c r="L12" s="4"/>
      <c r="M12" s="4"/>
      <c r="N12" s="4"/>
      <c r="P12" s="7" t="s">
        <v>1677</v>
      </c>
      <c r="Q12" s="8" t="s">
        <v>1678</v>
      </c>
      <c r="R12" s="9">
        <v>0</v>
      </c>
      <c r="S12" s="9">
        <v>0</v>
      </c>
      <c r="T12" s="9">
        <v>0</v>
      </c>
      <c r="U12" s="9">
        <v>0</v>
      </c>
    </row>
    <row r="13" spans="1:21" ht="15.75" x14ac:dyDescent="0.25">
      <c r="A13" s="179"/>
      <c r="B13" s="179"/>
      <c r="C13" s="179"/>
      <c r="D13" s="181">
        <f>SUM(D10:D12)</f>
        <v>150200</v>
      </c>
      <c r="E13" s="181">
        <f>SUM(E10:E12)</f>
        <v>150200</v>
      </c>
      <c r="H13" s="377" t="s">
        <v>1538</v>
      </c>
      <c r="I13" s="378" t="s">
        <v>1539</v>
      </c>
      <c r="J13" s="379">
        <v>8519.5</v>
      </c>
      <c r="K13" s="4">
        <f>775</f>
        <v>775</v>
      </c>
      <c r="L13" s="4">
        <f>J13+K13</f>
        <v>9294.5</v>
      </c>
      <c r="M13" s="4"/>
      <c r="N13" s="4"/>
      <c r="P13" s="7" t="s">
        <v>1534</v>
      </c>
      <c r="Q13" s="8" t="s">
        <v>1679</v>
      </c>
      <c r="R13" s="9">
        <v>0</v>
      </c>
      <c r="S13" s="9">
        <v>44578.14</v>
      </c>
      <c r="T13" s="9">
        <v>0</v>
      </c>
      <c r="U13" s="9">
        <v>30171.72</v>
      </c>
    </row>
    <row r="14" spans="1:21" ht="15.75" x14ac:dyDescent="0.25">
      <c r="A14" s="179"/>
      <c r="B14" s="179"/>
      <c r="C14" s="179"/>
      <c r="D14" s="181"/>
      <c r="E14" s="181"/>
      <c r="H14" s="377" t="s">
        <v>1540</v>
      </c>
      <c r="I14" s="378" t="s">
        <v>1541</v>
      </c>
      <c r="J14" s="379">
        <v>0</v>
      </c>
      <c r="K14" s="4"/>
      <c r="L14" s="4"/>
      <c r="M14" s="4"/>
      <c r="N14" s="4"/>
      <c r="P14" s="7" t="s">
        <v>1538</v>
      </c>
      <c r="Q14" s="8" t="s">
        <v>1680</v>
      </c>
      <c r="R14" s="9">
        <v>0</v>
      </c>
      <c r="S14" s="9">
        <v>0</v>
      </c>
      <c r="T14" s="9">
        <v>0</v>
      </c>
      <c r="U14" s="9">
        <v>0</v>
      </c>
    </row>
    <row r="15" spans="1:21" ht="15.75" x14ac:dyDescent="0.25">
      <c r="A15" s="207" t="s">
        <v>390</v>
      </c>
      <c r="B15" s="207">
        <v>14000</v>
      </c>
      <c r="C15" s="192">
        <v>4120</v>
      </c>
      <c r="D15" s="202">
        <v>0</v>
      </c>
      <c r="E15" s="375">
        <v>1000</v>
      </c>
      <c r="H15" s="377" t="s">
        <v>1542</v>
      </c>
      <c r="I15" s="378" t="s">
        <v>1543</v>
      </c>
      <c r="J15" s="379">
        <v>0</v>
      </c>
      <c r="K15" s="4"/>
      <c r="L15" s="4"/>
      <c r="M15" s="4"/>
      <c r="N15" s="4"/>
      <c r="P15" s="7" t="s">
        <v>1544</v>
      </c>
      <c r="Q15" s="8" t="s">
        <v>1681</v>
      </c>
      <c r="R15" s="9">
        <v>0</v>
      </c>
      <c r="S15" s="9">
        <v>2200.0100000000002</v>
      </c>
      <c r="T15" s="9">
        <v>0</v>
      </c>
      <c r="U15" s="9">
        <v>0</v>
      </c>
    </row>
    <row r="16" spans="1:21" ht="15.75" x14ac:dyDescent="0.25">
      <c r="A16" s="207" t="s">
        <v>26</v>
      </c>
      <c r="B16" s="207">
        <v>14000</v>
      </c>
      <c r="C16" s="192">
        <v>4150</v>
      </c>
      <c r="D16" s="202">
        <v>500</v>
      </c>
      <c r="E16" s="375">
        <v>500</v>
      </c>
      <c r="H16" s="377" t="s">
        <v>1544</v>
      </c>
      <c r="I16" s="378" t="s">
        <v>1545</v>
      </c>
      <c r="J16" s="379">
        <v>15294.93</v>
      </c>
      <c r="K16" s="4"/>
      <c r="L16" s="4"/>
      <c r="M16" s="4"/>
      <c r="N16" s="4"/>
      <c r="P16" s="7" t="s">
        <v>1546</v>
      </c>
      <c r="Q16" s="8" t="s">
        <v>1682</v>
      </c>
      <c r="R16" s="9">
        <v>0</v>
      </c>
      <c r="S16" s="9">
        <v>2599.98</v>
      </c>
      <c r="T16" s="9">
        <v>0</v>
      </c>
      <c r="U16" s="9">
        <v>2478.25</v>
      </c>
    </row>
    <row r="17" spans="1:21" ht="15.75" x14ac:dyDescent="0.25">
      <c r="A17" s="207" t="s">
        <v>23</v>
      </c>
      <c r="B17" s="207">
        <v>14000</v>
      </c>
      <c r="C17" s="192">
        <v>4500</v>
      </c>
      <c r="D17" s="202">
        <v>30000</v>
      </c>
      <c r="E17" s="375">
        <v>32000</v>
      </c>
      <c r="H17" s="377" t="s">
        <v>1546</v>
      </c>
      <c r="I17" s="378" t="s">
        <v>1547</v>
      </c>
      <c r="J17" s="379">
        <v>0</v>
      </c>
      <c r="K17" s="4"/>
      <c r="L17" s="4"/>
      <c r="M17" s="4"/>
      <c r="N17" s="4"/>
      <c r="P17" s="7" t="s">
        <v>1557</v>
      </c>
      <c r="Q17" s="8" t="s">
        <v>1683</v>
      </c>
      <c r="R17" s="9">
        <v>0</v>
      </c>
      <c r="S17" s="9">
        <v>0</v>
      </c>
      <c r="T17" s="9">
        <v>0</v>
      </c>
      <c r="U17" s="9">
        <v>0</v>
      </c>
    </row>
    <row r="18" spans="1:21" ht="15.75" x14ac:dyDescent="0.25">
      <c r="A18" s="207" t="s">
        <v>21</v>
      </c>
      <c r="B18" s="207">
        <v>14000</v>
      </c>
      <c r="C18" s="192" t="s">
        <v>369</v>
      </c>
      <c r="D18" s="202">
        <v>60000</v>
      </c>
      <c r="E18" s="375">
        <v>60000</v>
      </c>
      <c r="H18" s="377" t="s">
        <v>1548</v>
      </c>
      <c r="I18" s="378" t="s">
        <v>1549</v>
      </c>
      <c r="J18" s="379">
        <v>0.02</v>
      </c>
      <c r="K18" s="4"/>
      <c r="L18" s="4"/>
      <c r="M18" s="4"/>
      <c r="N18" s="4"/>
      <c r="P18" s="7" t="s">
        <v>1561</v>
      </c>
      <c r="Q18" s="8" t="s">
        <v>1684</v>
      </c>
      <c r="R18" s="9">
        <v>0</v>
      </c>
      <c r="S18" s="9">
        <v>0</v>
      </c>
      <c r="T18" s="9">
        <v>0</v>
      </c>
      <c r="U18" s="9">
        <v>0</v>
      </c>
    </row>
    <row r="19" spans="1:21" ht="15.75" x14ac:dyDescent="0.25">
      <c r="A19" s="179"/>
      <c r="B19" s="179"/>
      <c r="C19" s="192"/>
      <c r="D19" s="181">
        <f>SUM(D15:D18)</f>
        <v>90500</v>
      </c>
      <c r="E19" s="181">
        <f>SUM(E15:E18)</f>
        <v>93500</v>
      </c>
      <c r="H19" s="377" t="s">
        <v>1550</v>
      </c>
      <c r="I19" s="378" t="s">
        <v>10</v>
      </c>
      <c r="J19" s="379">
        <v>14108</v>
      </c>
      <c r="K19" s="4"/>
      <c r="L19" s="4"/>
      <c r="M19" s="4"/>
      <c r="N19" s="4"/>
      <c r="P19" s="7" t="s">
        <v>1685</v>
      </c>
      <c r="Q19" s="8" t="s">
        <v>1686</v>
      </c>
      <c r="R19" s="9">
        <v>0</v>
      </c>
      <c r="S19" s="9">
        <v>1417.38</v>
      </c>
      <c r="T19" s="9">
        <v>0</v>
      </c>
      <c r="U19" s="9">
        <v>2560.8200000000002</v>
      </c>
    </row>
    <row r="20" spans="1:21" ht="15.75" x14ac:dyDescent="0.25">
      <c r="A20" s="179"/>
      <c r="B20" s="179"/>
      <c r="C20" s="192"/>
      <c r="D20" s="202"/>
      <c r="E20" s="181"/>
      <c r="H20" s="377" t="s">
        <v>1551</v>
      </c>
      <c r="I20" s="378" t="s">
        <v>1552</v>
      </c>
      <c r="J20" s="379">
        <v>0</v>
      </c>
      <c r="K20" s="4"/>
      <c r="L20" s="4"/>
      <c r="M20" s="4"/>
      <c r="N20" s="4"/>
      <c r="P20" s="7" t="s">
        <v>1687</v>
      </c>
      <c r="Q20" s="8" t="s">
        <v>1688</v>
      </c>
      <c r="R20" s="9">
        <v>0</v>
      </c>
      <c r="S20" s="9">
        <v>0</v>
      </c>
      <c r="T20" s="9">
        <v>0</v>
      </c>
      <c r="U20" s="9">
        <v>0</v>
      </c>
    </row>
    <row r="21" spans="1:21" ht="15.75" x14ac:dyDescent="0.25">
      <c r="A21" s="207" t="s">
        <v>13</v>
      </c>
      <c r="B21" s="207">
        <v>15000</v>
      </c>
      <c r="C21" s="179">
        <v>4160</v>
      </c>
      <c r="D21" s="181">
        <v>3000</v>
      </c>
      <c r="E21" s="181">
        <v>4500</v>
      </c>
      <c r="H21" s="377" t="s">
        <v>1553</v>
      </c>
      <c r="I21" s="378" t="s">
        <v>1554</v>
      </c>
      <c r="J21" s="379">
        <v>0</v>
      </c>
      <c r="K21" s="4"/>
      <c r="L21" s="4"/>
      <c r="M21" s="4"/>
      <c r="N21" s="4"/>
      <c r="P21" s="7" t="s">
        <v>1577</v>
      </c>
      <c r="Q21" s="8" t="s">
        <v>1689</v>
      </c>
      <c r="R21" s="9">
        <v>0</v>
      </c>
      <c r="S21" s="9">
        <v>452.16</v>
      </c>
      <c r="T21" s="9">
        <v>0</v>
      </c>
      <c r="U21" s="9">
        <v>0</v>
      </c>
    </row>
    <row r="22" spans="1:21" ht="15.75" x14ac:dyDescent="0.25">
      <c r="A22" s="179" t="s">
        <v>383</v>
      </c>
      <c r="B22" s="179">
        <v>15000</v>
      </c>
      <c r="C22" s="179">
        <v>4160</v>
      </c>
      <c r="D22" s="181">
        <v>0</v>
      </c>
      <c r="E22" s="181">
        <v>0</v>
      </c>
      <c r="H22" s="377" t="s">
        <v>1555</v>
      </c>
      <c r="I22" s="378" t="s">
        <v>1556</v>
      </c>
      <c r="J22" s="379">
        <v>0</v>
      </c>
      <c r="K22" s="4"/>
      <c r="L22" s="4"/>
      <c r="M22" s="4"/>
      <c r="N22" s="4"/>
      <c r="P22" s="7" t="s">
        <v>1690</v>
      </c>
      <c r="Q22" s="8" t="s">
        <v>1691</v>
      </c>
      <c r="R22" s="9">
        <v>0</v>
      </c>
      <c r="S22" s="9">
        <v>1839.13</v>
      </c>
      <c r="T22" s="9">
        <v>0</v>
      </c>
      <c r="U22" s="9">
        <v>0</v>
      </c>
    </row>
    <row r="23" spans="1:21" ht="15.75" x14ac:dyDescent="0.25">
      <c r="A23" s="207" t="s">
        <v>384</v>
      </c>
      <c r="B23" s="207">
        <v>15000</v>
      </c>
      <c r="C23" s="192">
        <v>4160</v>
      </c>
      <c r="D23" s="202">
        <v>3500</v>
      </c>
      <c r="E23" s="189">
        <v>2000</v>
      </c>
      <c r="H23" s="377" t="s">
        <v>1557</v>
      </c>
      <c r="I23" s="378" t="s">
        <v>1558</v>
      </c>
      <c r="J23" s="379">
        <v>18716.009999999998</v>
      </c>
      <c r="K23" s="4"/>
      <c r="L23" s="4"/>
      <c r="M23" s="4"/>
      <c r="N23" s="4"/>
      <c r="P23" s="7" t="s">
        <v>1692</v>
      </c>
      <c r="Q23" s="8" t="s">
        <v>1693</v>
      </c>
      <c r="R23" s="9">
        <v>0</v>
      </c>
      <c r="S23" s="9">
        <v>0</v>
      </c>
      <c r="T23" s="9">
        <v>0</v>
      </c>
      <c r="U23" s="9">
        <v>0</v>
      </c>
    </row>
    <row r="24" spans="1:21" ht="15.75" x14ac:dyDescent="0.25">
      <c r="A24" s="179" t="s">
        <v>22</v>
      </c>
      <c r="B24" s="179">
        <v>15000</v>
      </c>
      <c r="C24" s="192">
        <v>4171</v>
      </c>
      <c r="D24" s="202">
        <v>500</v>
      </c>
      <c r="E24" s="181">
        <v>500</v>
      </c>
      <c r="H24" s="377" t="s">
        <v>1559</v>
      </c>
      <c r="I24" s="378" t="s">
        <v>1560</v>
      </c>
      <c r="J24" s="379">
        <v>0</v>
      </c>
      <c r="K24" s="4"/>
      <c r="L24" s="4"/>
      <c r="M24" s="4"/>
      <c r="N24" s="4"/>
      <c r="P24" s="7" t="s">
        <v>1694</v>
      </c>
      <c r="Q24" s="8" t="s">
        <v>1695</v>
      </c>
      <c r="R24" s="9">
        <v>0</v>
      </c>
      <c r="S24" s="9">
        <v>0</v>
      </c>
      <c r="T24" s="9">
        <v>0</v>
      </c>
      <c r="U24" s="9">
        <v>0</v>
      </c>
    </row>
    <row r="25" spans="1:21" ht="15.75" x14ac:dyDescent="0.25">
      <c r="A25" s="179" t="s">
        <v>25</v>
      </c>
      <c r="B25" s="179">
        <v>15000</v>
      </c>
      <c r="C25" s="192">
        <v>4200</v>
      </c>
      <c r="D25" s="202">
        <v>0</v>
      </c>
      <c r="E25" s="181">
        <v>0</v>
      </c>
      <c r="H25" s="377" t="s">
        <v>1561</v>
      </c>
      <c r="I25" s="378" t="s">
        <v>1562</v>
      </c>
      <c r="J25" s="379">
        <v>5000</v>
      </c>
      <c r="K25" s="4"/>
      <c r="L25" s="4">
        <v>5000</v>
      </c>
      <c r="M25" s="4">
        <v>5000</v>
      </c>
      <c r="N25" s="4"/>
      <c r="P25" s="7" t="s">
        <v>1696</v>
      </c>
      <c r="Q25" s="8" t="s">
        <v>1697</v>
      </c>
      <c r="R25" s="9">
        <v>0</v>
      </c>
      <c r="S25" s="9">
        <v>0</v>
      </c>
      <c r="T25" s="9">
        <v>0</v>
      </c>
      <c r="U25" s="9">
        <v>0</v>
      </c>
    </row>
    <row r="26" spans="1:21" ht="15.75" x14ac:dyDescent="0.25">
      <c r="A26" s="179" t="s">
        <v>385</v>
      </c>
      <c r="B26" s="179">
        <v>15000</v>
      </c>
      <c r="C26" s="179">
        <v>4217</v>
      </c>
      <c r="D26" s="181">
        <v>0</v>
      </c>
      <c r="E26" s="181">
        <v>0</v>
      </c>
      <c r="H26" s="377" t="s">
        <v>1563</v>
      </c>
      <c r="I26" s="378" t="s">
        <v>1564</v>
      </c>
      <c r="J26" s="379">
        <v>0</v>
      </c>
      <c r="K26" s="4"/>
      <c r="L26" s="4"/>
      <c r="M26" s="4"/>
      <c r="N26" s="4"/>
      <c r="P26" s="7" t="s">
        <v>1698</v>
      </c>
      <c r="Q26" s="8" t="s">
        <v>390</v>
      </c>
      <c r="R26" s="9">
        <v>0</v>
      </c>
      <c r="S26" s="9">
        <v>0</v>
      </c>
      <c r="T26" s="9">
        <v>0</v>
      </c>
      <c r="U26" s="9">
        <v>0</v>
      </c>
    </row>
    <row r="27" spans="1:21" ht="15.75" x14ac:dyDescent="0.25">
      <c r="A27" s="179" t="s">
        <v>14</v>
      </c>
      <c r="B27" s="179">
        <v>15000</v>
      </c>
      <c r="C27" s="179">
        <v>4230</v>
      </c>
      <c r="D27" s="181">
        <v>5000</v>
      </c>
      <c r="E27" s="181">
        <v>0</v>
      </c>
      <c r="F27" t="s">
        <v>1863</v>
      </c>
      <c r="H27" s="377" t="s">
        <v>1565</v>
      </c>
      <c r="I27" s="378" t="s">
        <v>1566</v>
      </c>
      <c r="J27" s="379">
        <v>0</v>
      </c>
      <c r="K27" s="4"/>
      <c r="L27" s="4"/>
      <c r="M27" s="4"/>
      <c r="N27" s="4"/>
      <c r="P27" s="7" t="s">
        <v>1699</v>
      </c>
      <c r="Q27" s="8" t="s">
        <v>1700</v>
      </c>
      <c r="R27" s="9">
        <v>0</v>
      </c>
      <c r="S27" s="9">
        <v>0</v>
      </c>
      <c r="T27" s="9">
        <v>0</v>
      </c>
      <c r="U27" s="9">
        <v>0</v>
      </c>
    </row>
    <row r="28" spans="1:21" ht="15.75" x14ac:dyDescent="0.25">
      <c r="A28" s="179" t="s">
        <v>382</v>
      </c>
      <c r="B28" s="179">
        <v>15000</v>
      </c>
      <c r="C28" s="179">
        <v>4242</v>
      </c>
      <c r="D28" s="181">
        <v>0</v>
      </c>
      <c r="E28" s="181">
        <v>0</v>
      </c>
      <c r="H28" s="377" t="s">
        <v>1567</v>
      </c>
      <c r="I28" s="378" t="s">
        <v>1568</v>
      </c>
      <c r="J28" s="379">
        <v>0</v>
      </c>
      <c r="K28" s="4"/>
      <c r="L28" s="4"/>
      <c r="M28" s="4"/>
      <c r="N28" s="4"/>
      <c r="P28" s="7" t="s">
        <v>1701</v>
      </c>
      <c r="Q28" s="8" t="s">
        <v>1702</v>
      </c>
      <c r="R28" s="9">
        <v>0</v>
      </c>
      <c r="S28" s="9">
        <v>0</v>
      </c>
      <c r="T28" s="9">
        <v>0</v>
      </c>
      <c r="U28" s="9">
        <v>0</v>
      </c>
    </row>
    <row r="29" spans="1:21" s="3" customFormat="1" ht="15.75" x14ac:dyDescent="0.25">
      <c r="A29" s="179" t="s">
        <v>368</v>
      </c>
      <c r="B29" s="179">
        <v>15000</v>
      </c>
      <c r="C29" s="179" t="s">
        <v>369</v>
      </c>
      <c r="D29" s="181">
        <v>3000</v>
      </c>
      <c r="E29" s="181">
        <v>3000</v>
      </c>
      <c r="H29" s="377" t="s">
        <v>1569</v>
      </c>
      <c r="I29" s="378" t="s">
        <v>1570</v>
      </c>
      <c r="J29" s="379">
        <v>0</v>
      </c>
      <c r="K29" s="275"/>
      <c r="L29" s="275"/>
      <c r="M29" s="275"/>
      <c r="N29" s="275"/>
      <c r="P29" s="7" t="s">
        <v>1703</v>
      </c>
      <c r="Q29" s="8" t="s">
        <v>1704</v>
      </c>
      <c r="R29" s="9">
        <v>0</v>
      </c>
      <c r="S29" s="9">
        <v>0</v>
      </c>
      <c r="T29" s="9">
        <v>0</v>
      </c>
      <c r="U29" s="9">
        <v>0</v>
      </c>
    </row>
    <row r="30" spans="1:21" ht="15.75" x14ac:dyDescent="0.25">
      <c r="A30" s="179" t="s">
        <v>15</v>
      </c>
      <c r="B30" s="179">
        <v>15000</v>
      </c>
      <c r="C30" s="179" t="s">
        <v>393</v>
      </c>
      <c r="D30" s="181">
        <v>500</v>
      </c>
      <c r="E30" s="181">
        <v>500</v>
      </c>
      <c r="H30" s="377" t="s">
        <v>1571</v>
      </c>
      <c r="I30" s="378" t="s">
        <v>1572</v>
      </c>
      <c r="J30" s="379">
        <v>0</v>
      </c>
      <c r="K30" s="4"/>
      <c r="L30" s="4"/>
      <c r="M30" s="4"/>
      <c r="N30" s="4"/>
      <c r="P30" s="7" t="s">
        <v>1705</v>
      </c>
      <c r="Q30" s="8" t="s">
        <v>1706</v>
      </c>
      <c r="R30" s="9">
        <v>0</v>
      </c>
      <c r="S30" s="9">
        <v>0</v>
      </c>
      <c r="T30" s="9">
        <v>0</v>
      </c>
      <c r="U30" s="9">
        <v>0</v>
      </c>
    </row>
    <row r="31" spans="1:21" ht="15.75" x14ac:dyDescent="0.25">
      <c r="A31" s="179" t="s">
        <v>371</v>
      </c>
      <c r="B31" s="179">
        <v>15000</v>
      </c>
      <c r="C31" s="179" t="s">
        <v>369</v>
      </c>
      <c r="D31" s="181">
        <v>1000</v>
      </c>
      <c r="E31" s="181">
        <v>1000</v>
      </c>
      <c r="H31" s="377" t="s">
        <v>1573</v>
      </c>
      <c r="I31" s="378" t="s">
        <v>1574</v>
      </c>
      <c r="J31" s="379">
        <v>0</v>
      </c>
      <c r="K31" s="4"/>
      <c r="L31" s="4"/>
      <c r="M31" s="4"/>
      <c r="N31" s="4"/>
      <c r="P31" s="7" t="s">
        <v>1707</v>
      </c>
      <c r="Q31" s="8" t="s">
        <v>1708</v>
      </c>
      <c r="R31" s="9">
        <v>0</v>
      </c>
      <c r="S31" s="9">
        <v>0</v>
      </c>
      <c r="T31" s="9">
        <v>0</v>
      </c>
      <c r="U31" s="9">
        <v>0</v>
      </c>
    </row>
    <row r="32" spans="1:21" ht="15.75" x14ac:dyDescent="0.25">
      <c r="A32" s="179" t="s">
        <v>24</v>
      </c>
      <c r="B32" s="179">
        <v>15000</v>
      </c>
      <c r="C32" s="192" t="s">
        <v>369</v>
      </c>
      <c r="D32" s="202">
        <v>-48</v>
      </c>
      <c r="E32" s="181">
        <v>100</v>
      </c>
      <c r="H32" s="377" t="s">
        <v>1575</v>
      </c>
      <c r="I32" s="378" t="s">
        <v>1576</v>
      </c>
      <c r="J32" s="379">
        <v>0</v>
      </c>
      <c r="K32" s="4"/>
      <c r="L32" s="4"/>
      <c r="M32" s="4"/>
      <c r="N32" s="4"/>
      <c r="P32" s="7" t="s">
        <v>1581</v>
      </c>
      <c r="Q32" s="8" t="s">
        <v>1709</v>
      </c>
      <c r="R32" s="9">
        <v>0</v>
      </c>
      <c r="S32" s="9">
        <v>0</v>
      </c>
      <c r="T32" s="9">
        <v>0</v>
      </c>
      <c r="U32" s="9">
        <v>130.43</v>
      </c>
    </row>
    <row r="33" spans="1:22" ht="15.75" x14ac:dyDescent="0.25">
      <c r="A33" s="179"/>
      <c r="B33" s="179"/>
      <c r="C33" s="192"/>
      <c r="D33" s="181">
        <f>SUM(D21:D32)</f>
        <v>16452</v>
      </c>
      <c r="E33" s="181">
        <f>SUM(E21:E32)</f>
        <v>11600</v>
      </c>
      <c r="H33" s="377" t="s">
        <v>1577</v>
      </c>
      <c r="I33" s="378" t="s">
        <v>1578</v>
      </c>
      <c r="J33" s="379">
        <v>0</v>
      </c>
      <c r="K33" s="4"/>
      <c r="L33" s="4"/>
      <c r="M33" s="4"/>
      <c r="N33" s="4"/>
      <c r="P33" s="7" t="s">
        <v>1710</v>
      </c>
      <c r="Q33" s="8" t="s">
        <v>1711</v>
      </c>
      <c r="R33" s="9">
        <v>0</v>
      </c>
      <c r="S33" s="9">
        <v>0</v>
      </c>
      <c r="T33" s="9">
        <v>0</v>
      </c>
      <c r="U33" s="9">
        <v>0</v>
      </c>
    </row>
    <row r="34" spans="1:22" ht="15.75" x14ac:dyDescent="0.25">
      <c r="A34" s="179"/>
      <c r="B34" s="179"/>
      <c r="C34" s="192"/>
      <c r="D34" s="202"/>
      <c r="E34" s="181"/>
      <c r="H34" s="377" t="s">
        <v>1579</v>
      </c>
      <c r="I34" s="378" t="s">
        <v>1580</v>
      </c>
      <c r="J34" s="379">
        <v>0</v>
      </c>
      <c r="K34" s="4"/>
      <c r="L34" s="4"/>
      <c r="M34" s="4"/>
      <c r="N34" s="4"/>
      <c r="P34" s="7" t="s">
        <v>1712</v>
      </c>
      <c r="Q34" s="8" t="s">
        <v>1713</v>
      </c>
      <c r="R34" s="9">
        <v>0</v>
      </c>
      <c r="S34" s="9">
        <v>0</v>
      </c>
      <c r="T34" s="9">
        <v>0</v>
      </c>
      <c r="U34" s="9">
        <v>0</v>
      </c>
    </row>
    <row r="35" spans="1:22" ht="15.75" x14ac:dyDescent="0.25">
      <c r="A35" s="179" t="s">
        <v>8</v>
      </c>
      <c r="B35" s="179">
        <v>16000</v>
      </c>
      <c r="C35" s="179">
        <v>4060</v>
      </c>
      <c r="D35" s="181">
        <v>5000</v>
      </c>
      <c r="E35" s="181">
        <v>5000</v>
      </c>
      <c r="H35" s="377" t="s">
        <v>1581</v>
      </c>
      <c r="I35" s="378" t="s">
        <v>1582</v>
      </c>
      <c r="J35" s="379">
        <v>0</v>
      </c>
      <c r="K35" s="4"/>
      <c r="L35" s="4"/>
      <c r="M35" s="4"/>
      <c r="N35" s="4"/>
      <c r="P35" s="7" t="s">
        <v>1583</v>
      </c>
      <c r="Q35" s="8" t="s">
        <v>1714</v>
      </c>
      <c r="R35" s="9">
        <v>0</v>
      </c>
      <c r="S35" s="9">
        <v>0</v>
      </c>
      <c r="T35" s="9">
        <v>0</v>
      </c>
      <c r="U35" s="9">
        <v>3775</v>
      </c>
    </row>
    <row r="36" spans="1:22" ht="12.75" customHeight="1" x14ac:dyDescent="0.25">
      <c r="A36" s="179" t="s">
        <v>28</v>
      </c>
      <c r="B36" s="179">
        <v>16000</v>
      </c>
      <c r="C36" s="192">
        <v>4180</v>
      </c>
      <c r="D36" s="202">
        <v>8500</v>
      </c>
      <c r="E36" s="181">
        <v>8500</v>
      </c>
      <c r="H36" s="377" t="s">
        <v>1583</v>
      </c>
      <c r="I36" s="378" t="s">
        <v>13</v>
      </c>
      <c r="J36" s="379">
        <v>2307.63</v>
      </c>
      <c r="K36" s="4"/>
      <c r="L36" s="4">
        <v>3000</v>
      </c>
      <c r="M36" s="4">
        <v>3000</v>
      </c>
      <c r="N36" s="4" t="s">
        <v>1659</v>
      </c>
      <c r="P36" s="7" t="s">
        <v>1715</v>
      </c>
      <c r="Q36" s="8" t="s">
        <v>1716</v>
      </c>
      <c r="R36" s="9">
        <v>0</v>
      </c>
      <c r="S36" s="9">
        <v>0</v>
      </c>
      <c r="T36" s="9">
        <v>0</v>
      </c>
      <c r="U36" s="9">
        <v>165.22</v>
      </c>
      <c r="V36" t="s">
        <v>1862</v>
      </c>
    </row>
    <row r="37" spans="1:22" ht="12.75" customHeight="1" x14ac:dyDescent="0.25">
      <c r="A37" s="179"/>
      <c r="B37" s="179"/>
      <c r="C37" s="192"/>
      <c r="D37" s="181">
        <f>SUM(D35:D36)</f>
        <v>13500</v>
      </c>
      <c r="E37" s="181">
        <f>SUM(E35:E36)</f>
        <v>13500</v>
      </c>
      <c r="H37" s="377" t="s">
        <v>1584</v>
      </c>
      <c r="I37" s="378" t="s">
        <v>1585</v>
      </c>
      <c r="J37" s="379">
        <v>0</v>
      </c>
      <c r="K37" s="4"/>
      <c r="L37" s="4"/>
      <c r="M37" s="4"/>
      <c r="N37" s="4"/>
      <c r="P37" s="7" t="s">
        <v>1588</v>
      </c>
      <c r="Q37" s="8" t="s">
        <v>1717</v>
      </c>
      <c r="R37" s="9">
        <v>0</v>
      </c>
      <c r="S37" s="9">
        <v>34.26</v>
      </c>
      <c r="T37" s="9">
        <v>0</v>
      </c>
      <c r="U37" s="9">
        <v>1221.71</v>
      </c>
      <c r="V37" t="s">
        <v>1686</v>
      </c>
    </row>
    <row r="38" spans="1:22" ht="12.75" customHeight="1" x14ac:dyDescent="0.25">
      <c r="A38" s="179"/>
      <c r="B38" s="179"/>
      <c r="C38" s="192"/>
      <c r="D38" s="202"/>
      <c r="E38" s="181"/>
      <c r="H38" s="377" t="s">
        <v>1586</v>
      </c>
      <c r="I38" s="378" t="s">
        <v>1587</v>
      </c>
      <c r="J38" s="379">
        <v>0</v>
      </c>
      <c r="K38" s="4"/>
      <c r="L38" s="4"/>
      <c r="M38" s="4"/>
      <c r="N38" s="4"/>
      <c r="P38" s="7" t="s">
        <v>1590</v>
      </c>
      <c r="Q38" s="8" t="s">
        <v>1718</v>
      </c>
      <c r="R38" s="9">
        <v>0</v>
      </c>
      <c r="S38" s="9">
        <v>0</v>
      </c>
      <c r="T38" s="9">
        <v>0</v>
      </c>
      <c r="U38" s="9">
        <v>1085.42</v>
      </c>
    </row>
    <row r="39" spans="1:22" ht="15.75" x14ac:dyDescent="0.25">
      <c r="A39" s="179" t="s">
        <v>9</v>
      </c>
      <c r="B39" s="179">
        <v>17000</v>
      </c>
      <c r="C39" s="179">
        <v>4030</v>
      </c>
      <c r="D39" s="181">
        <v>0</v>
      </c>
      <c r="E39" s="181">
        <v>4000</v>
      </c>
      <c r="H39" s="377" t="s">
        <v>1588</v>
      </c>
      <c r="I39" s="378" t="s">
        <v>1589</v>
      </c>
      <c r="J39" s="379">
        <v>0</v>
      </c>
      <c r="K39" s="4"/>
      <c r="L39" s="4"/>
      <c r="M39" s="4"/>
      <c r="N39" s="4"/>
      <c r="P39" s="7" t="s">
        <v>1719</v>
      </c>
      <c r="Q39" s="8" t="s">
        <v>1720</v>
      </c>
      <c r="R39" s="9">
        <v>0</v>
      </c>
      <c r="S39" s="9">
        <v>0</v>
      </c>
      <c r="T39" s="9">
        <v>0</v>
      </c>
      <c r="U39" s="9">
        <v>0</v>
      </c>
    </row>
    <row r="40" spans="1:22" ht="15.75" x14ac:dyDescent="0.25">
      <c r="A40" s="179" t="s">
        <v>10</v>
      </c>
      <c r="B40" s="179">
        <v>17000</v>
      </c>
      <c r="C40" s="179">
        <v>4045</v>
      </c>
      <c r="D40" s="181">
        <v>0</v>
      </c>
      <c r="E40" s="181">
        <v>0</v>
      </c>
      <c r="H40" s="377" t="s">
        <v>1590</v>
      </c>
      <c r="I40" s="378" t="s">
        <v>1591</v>
      </c>
      <c r="J40" s="379">
        <v>0</v>
      </c>
      <c r="K40" s="4"/>
      <c r="L40" s="4"/>
      <c r="M40" s="4"/>
      <c r="N40" s="4"/>
      <c r="P40" s="7" t="s">
        <v>1592</v>
      </c>
      <c r="Q40" s="8" t="s">
        <v>1721</v>
      </c>
      <c r="R40" s="9">
        <v>0</v>
      </c>
      <c r="S40" s="9">
        <v>0</v>
      </c>
      <c r="T40" s="9">
        <v>0</v>
      </c>
      <c r="U40" s="9">
        <v>0</v>
      </c>
    </row>
    <row r="41" spans="1:22" ht="15.75" x14ac:dyDescent="0.25">
      <c r="A41" s="179" t="s">
        <v>370</v>
      </c>
      <c r="B41" s="179">
        <v>17000</v>
      </c>
      <c r="C41" s="179">
        <v>4061</v>
      </c>
      <c r="D41" s="181">
        <v>0</v>
      </c>
      <c r="E41" s="181">
        <v>0</v>
      </c>
      <c r="H41" s="377" t="s">
        <v>1592</v>
      </c>
      <c r="I41" s="378" t="s">
        <v>1593</v>
      </c>
      <c r="J41" s="379">
        <v>0</v>
      </c>
      <c r="K41" s="4"/>
      <c r="L41" s="4"/>
      <c r="M41" s="4"/>
      <c r="N41" s="4"/>
      <c r="P41" s="7" t="s">
        <v>1594</v>
      </c>
      <c r="Q41" s="8" t="s">
        <v>1722</v>
      </c>
      <c r="R41" s="9">
        <v>0</v>
      </c>
      <c r="S41" s="9">
        <v>8500</v>
      </c>
      <c r="T41" s="9">
        <v>0</v>
      </c>
      <c r="U41" s="9">
        <v>8500</v>
      </c>
    </row>
    <row r="42" spans="1:22" ht="15.75" x14ac:dyDescent="0.25">
      <c r="A42" s="179" t="s">
        <v>9</v>
      </c>
      <c r="B42" s="179">
        <v>17000</v>
      </c>
      <c r="C42" s="179">
        <v>4080</v>
      </c>
      <c r="D42" s="181">
        <v>5000</v>
      </c>
      <c r="E42" s="189">
        <v>18000</v>
      </c>
      <c r="F42" t="s">
        <v>1864</v>
      </c>
      <c r="H42" s="377" t="s">
        <v>1594</v>
      </c>
      <c r="I42" s="378" t="s">
        <v>1595</v>
      </c>
      <c r="J42" s="379">
        <v>35000</v>
      </c>
      <c r="K42" s="4"/>
      <c r="L42" s="4"/>
      <c r="M42" s="4">
        <v>35000</v>
      </c>
      <c r="N42" s="4"/>
      <c r="P42" s="7" t="s">
        <v>1723</v>
      </c>
      <c r="Q42" s="8" t="s">
        <v>1724</v>
      </c>
      <c r="R42" s="9">
        <v>0</v>
      </c>
      <c r="S42" s="9">
        <v>29546.53</v>
      </c>
      <c r="T42" s="9">
        <v>0</v>
      </c>
      <c r="U42" s="9">
        <v>0</v>
      </c>
    </row>
    <row r="43" spans="1:22" s="3" customFormat="1" ht="15.75" x14ac:dyDescent="0.25">
      <c r="A43" s="179" t="s">
        <v>110</v>
      </c>
      <c r="B43" s="179">
        <v>17000</v>
      </c>
      <c r="C43" s="192">
        <v>4190</v>
      </c>
      <c r="D43" s="202">
        <v>0</v>
      </c>
      <c r="E43" s="181">
        <v>14000</v>
      </c>
      <c r="F43" s="3" t="s">
        <v>1846</v>
      </c>
      <c r="H43" s="377" t="s">
        <v>1596</v>
      </c>
      <c r="I43" s="378" t="s">
        <v>1597</v>
      </c>
      <c r="J43" s="379">
        <v>19800</v>
      </c>
      <c r="K43" s="275"/>
      <c r="L43" s="275"/>
      <c r="M43" s="275">
        <v>19800</v>
      </c>
      <c r="N43" s="275" t="s">
        <v>1663</v>
      </c>
      <c r="P43" s="7" t="s">
        <v>1596</v>
      </c>
      <c r="Q43" s="8" t="s">
        <v>1725</v>
      </c>
      <c r="R43" s="9">
        <v>0</v>
      </c>
      <c r="S43" s="9">
        <v>6919.92</v>
      </c>
      <c r="T43" s="9">
        <v>0</v>
      </c>
      <c r="U43" s="9">
        <v>0</v>
      </c>
    </row>
    <row r="44" spans="1:22" ht="15.75" x14ac:dyDescent="0.25">
      <c r="A44" s="179" t="s">
        <v>398</v>
      </c>
      <c r="B44" s="179">
        <v>17000</v>
      </c>
      <c r="C44" s="192"/>
      <c r="D44" s="202">
        <v>0</v>
      </c>
      <c r="E44" s="181">
        <v>45000</v>
      </c>
      <c r="H44" s="377" t="s">
        <v>1598</v>
      </c>
      <c r="I44" s="378" t="s">
        <v>1599</v>
      </c>
      <c r="J44" s="379">
        <v>0</v>
      </c>
      <c r="K44" s="4"/>
      <c r="L44" s="4"/>
      <c r="M44" s="4"/>
      <c r="N44" s="4"/>
      <c r="P44" s="7" t="s">
        <v>1726</v>
      </c>
      <c r="Q44" s="8" t="s">
        <v>1727</v>
      </c>
      <c r="R44" s="9">
        <v>0</v>
      </c>
      <c r="S44" s="9">
        <v>0</v>
      </c>
      <c r="T44" s="9">
        <v>0</v>
      </c>
      <c r="U44" s="9">
        <v>0</v>
      </c>
    </row>
    <row r="45" spans="1:22" ht="15.75" x14ac:dyDescent="0.25">
      <c r="A45" s="179"/>
      <c r="B45" s="179"/>
      <c r="C45" s="192"/>
      <c r="D45" s="181">
        <f>SUM(D39:D44)</f>
        <v>5000</v>
      </c>
      <c r="E45" s="181">
        <f>SUM(E39:E44)</f>
        <v>81000</v>
      </c>
      <c r="H45" s="377" t="s">
        <v>1600</v>
      </c>
      <c r="I45" s="378" t="s">
        <v>1601</v>
      </c>
      <c r="J45" s="379">
        <v>0</v>
      </c>
      <c r="K45" s="4"/>
      <c r="L45" s="4"/>
      <c r="M45" s="4"/>
      <c r="N45" s="4"/>
      <c r="P45" s="7" t="s">
        <v>1604</v>
      </c>
      <c r="Q45" s="8" t="s">
        <v>371</v>
      </c>
      <c r="R45" s="9">
        <v>0</v>
      </c>
      <c r="S45" s="9">
        <v>0</v>
      </c>
      <c r="T45" s="9">
        <v>0</v>
      </c>
      <c r="U45" s="9">
        <v>300</v>
      </c>
    </row>
    <row r="46" spans="1:22" ht="15.75" x14ac:dyDescent="0.25">
      <c r="A46" s="179"/>
      <c r="B46" s="179"/>
      <c r="C46" s="192"/>
      <c r="D46" s="202"/>
      <c r="E46" s="181"/>
      <c r="H46" s="377" t="s">
        <v>1602</v>
      </c>
      <c r="I46" s="378" t="s">
        <v>1603</v>
      </c>
      <c r="J46" s="379">
        <v>1500</v>
      </c>
      <c r="K46" s="4"/>
      <c r="L46" s="4"/>
      <c r="M46" s="4"/>
      <c r="N46" s="4"/>
      <c r="P46" s="7" t="s">
        <v>1610</v>
      </c>
      <c r="Q46" s="8" t="s">
        <v>1728</v>
      </c>
      <c r="R46" s="9">
        <v>0</v>
      </c>
      <c r="S46" s="9">
        <v>0</v>
      </c>
      <c r="T46" s="9">
        <v>0</v>
      </c>
      <c r="U46" s="9">
        <v>0</v>
      </c>
    </row>
    <row r="47" spans="1:22" ht="15.75" x14ac:dyDescent="0.25">
      <c r="A47" s="207" t="s">
        <v>6</v>
      </c>
      <c r="B47" s="207">
        <v>18000</v>
      </c>
      <c r="C47" s="179">
        <v>4020</v>
      </c>
      <c r="D47" s="181">
        <v>7900</v>
      </c>
      <c r="E47" s="181">
        <v>9294</v>
      </c>
      <c r="F47" t="s">
        <v>1848</v>
      </c>
      <c r="H47" s="377" t="s">
        <v>1604</v>
      </c>
      <c r="I47" s="378" t="s">
        <v>1605</v>
      </c>
      <c r="J47" s="379">
        <v>0</v>
      </c>
      <c r="K47" s="4"/>
      <c r="L47" s="4"/>
      <c r="M47" s="4"/>
      <c r="N47" s="4"/>
      <c r="P47" s="7" t="s">
        <v>1643</v>
      </c>
      <c r="Q47" s="8" t="s">
        <v>1729</v>
      </c>
      <c r="R47" s="9">
        <v>0</v>
      </c>
      <c r="S47" s="9">
        <v>0</v>
      </c>
      <c r="T47" s="9">
        <v>0</v>
      </c>
      <c r="U47" s="9">
        <v>0</v>
      </c>
    </row>
    <row r="48" spans="1:22" ht="15.75" x14ac:dyDescent="0.25">
      <c r="A48" s="179"/>
      <c r="B48" s="179"/>
      <c r="C48" s="179"/>
      <c r="D48" s="181"/>
      <c r="E48" s="181"/>
      <c r="H48" s="377" t="s">
        <v>1606</v>
      </c>
      <c r="I48" s="378" t="s">
        <v>1607</v>
      </c>
      <c r="J48" s="379">
        <v>0</v>
      </c>
      <c r="K48" s="4"/>
      <c r="L48" s="4"/>
      <c r="M48" s="4"/>
      <c r="N48" s="4"/>
      <c r="P48" s="7" t="s">
        <v>1645</v>
      </c>
      <c r="Q48" s="8" t="s">
        <v>1730</v>
      </c>
      <c r="R48" s="9">
        <v>0</v>
      </c>
      <c r="S48" s="9">
        <v>0</v>
      </c>
      <c r="T48" s="9">
        <v>0</v>
      </c>
      <c r="U48" s="9">
        <v>0</v>
      </c>
    </row>
    <row r="49" spans="1:21" ht="15.75" x14ac:dyDescent="0.25">
      <c r="A49" s="179"/>
      <c r="B49" s="179"/>
      <c r="C49" s="179"/>
      <c r="D49" s="181"/>
      <c r="E49" s="181"/>
      <c r="H49" s="377" t="s">
        <v>1608</v>
      </c>
      <c r="I49" s="378" t="s">
        <v>1609</v>
      </c>
      <c r="J49" s="379">
        <v>1360</v>
      </c>
      <c r="K49" s="4"/>
      <c r="L49" s="4"/>
      <c r="M49" s="4">
        <v>2000</v>
      </c>
      <c r="N49" s="4"/>
      <c r="P49" s="7" t="s">
        <v>1731</v>
      </c>
      <c r="Q49" s="8" t="s">
        <v>1732</v>
      </c>
      <c r="R49" s="9">
        <v>0</v>
      </c>
      <c r="S49" s="9">
        <v>0</v>
      </c>
      <c r="T49" s="9">
        <v>0</v>
      </c>
      <c r="U49" s="9">
        <v>0</v>
      </c>
    </row>
    <row r="50" spans="1:21" ht="15.75" x14ac:dyDescent="0.25">
      <c r="A50" s="207" t="s">
        <v>396</v>
      </c>
      <c r="B50" s="207">
        <v>18001</v>
      </c>
      <c r="C50" s="179">
        <v>4042</v>
      </c>
      <c r="D50" s="181">
        <v>0</v>
      </c>
      <c r="E50" s="181">
        <v>3000</v>
      </c>
      <c r="H50" s="377" t="s">
        <v>1610</v>
      </c>
      <c r="I50" s="378" t="s">
        <v>1611</v>
      </c>
      <c r="J50" s="379">
        <v>0</v>
      </c>
      <c r="K50" s="4"/>
      <c r="L50" s="4"/>
      <c r="M50" s="4"/>
      <c r="N50" s="4"/>
      <c r="P50" s="7" t="s">
        <v>1733</v>
      </c>
      <c r="Q50" s="8" t="s">
        <v>1734</v>
      </c>
      <c r="R50" s="9">
        <v>0</v>
      </c>
      <c r="S50" s="9">
        <v>30.43</v>
      </c>
      <c r="T50" s="9">
        <v>0</v>
      </c>
      <c r="U50" s="9">
        <v>0</v>
      </c>
    </row>
    <row r="51" spans="1:21" ht="15.75" x14ac:dyDescent="0.25">
      <c r="A51" s="179" t="s">
        <v>1664</v>
      </c>
      <c r="B51" s="179"/>
      <c r="C51" s="179"/>
      <c r="D51" s="181"/>
      <c r="E51" s="181"/>
      <c r="H51" s="377" t="s">
        <v>1612</v>
      </c>
      <c r="I51" s="378" t="s">
        <v>1613</v>
      </c>
      <c r="J51" s="379">
        <v>0</v>
      </c>
      <c r="K51" s="4"/>
      <c r="L51" s="4"/>
      <c r="M51" s="4"/>
      <c r="N51" s="4"/>
      <c r="P51" s="7" t="s">
        <v>1735</v>
      </c>
      <c r="Q51" s="8" t="s">
        <v>1736</v>
      </c>
      <c r="R51" s="9">
        <v>0</v>
      </c>
      <c r="S51" s="9">
        <v>7853.95</v>
      </c>
      <c r="T51" s="9">
        <v>0</v>
      </c>
      <c r="U51" s="9">
        <v>26788.34</v>
      </c>
    </row>
    <row r="52" spans="1:21" ht="15.75" x14ac:dyDescent="0.25">
      <c r="A52" s="179"/>
      <c r="B52" s="179"/>
      <c r="C52" s="179"/>
      <c r="D52" s="181"/>
      <c r="E52" s="181"/>
      <c r="H52" s="377" t="s">
        <v>1614</v>
      </c>
      <c r="I52" s="378" t="s">
        <v>1615</v>
      </c>
      <c r="J52" s="379">
        <v>0</v>
      </c>
      <c r="K52" s="4"/>
      <c r="L52" s="4"/>
      <c r="M52" s="4"/>
      <c r="N52" s="4"/>
      <c r="P52" s="7" t="s">
        <v>1737</v>
      </c>
      <c r="Q52" s="8" t="s">
        <v>1738</v>
      </c>
      <c r="R52" s="9">
        <v>0</v>
      </c>
      <c r="S52" s="9">
        <v>0</v>
      </c>
      <c r="T52" s="9">
        <v>0</v>
      </c>
      <c r="U52" s="9">
        <v>0</v>
      </c>
    </row>
    <row r="53" spans="1:21" ht="15.75" x14ac:dyDescent="0.25">
      <c r="A53" s="179" t="s">
        <v>11</v>
      </c>
      <c r="B53" s="179">
        <v>19000</v>
      </c>
      <c r="C53" s="179">
        <v>4180</v>
      </c>
      <c r="D53" s="181">
        <v>35000</v>
      </c>
      <c r="E53" s="181">
        <v>35000</v>
      </c>
      <c r="H53" s="377" t="s">
        <v>1616</v>
      </c>
      <c r="I53" s="378" t="s">
        <v>1617</v>
      </c>
      <c r="J53" s="379">
        <v>0</v>
      </c>
      <c r="K53" s="4"/>
      <c r="L53" s="4"/>
      <c r="M53" s="4"/>
      <c r="N53" s="4"/>
      <c r="P53" s="7" t="s">
        <v>1739</v>
      </c>
      <c r="Q53" s="8" t="s">
        <v>1740</v>
      </c>
      <c r="R53" s="9">
        <v>0</v>
      </c>
      <c r="S53" s="9">
        <v>0</v>
      </c>
      <c r="T53" s="9">
        <v>0</v>
      </c>
      <c r="U53" s="9">
        <v>0</v>
      </c>
    </row>
    <row r="54" spans="1:21" ht="15.75" x14ac:dyDescent="0.25">
      <c r="A54" s="207" t="s">
        <v>12</v>
      </c>
      <c r="B54" s="207">
        <v>19000</v>
      </c>
      <c r="C54" s="179">
        <v>4190</v>
      </c>
      <c r="D54" s="181">
        <v>21600</v>
      </c>
      <c r="E54" s="181">
        <v>21600</v>
      </c>
      <c r="H54" s="377" t="s">
        <v>1618</v>
      </c>
      <c r="I54" s="378" t="s">
        <v>1619</v>
      </c>
      <c r="J54" s="379">
        <v>1500</v>
      </c>
      <c r="K54" s="4"/>
      <c r="L54" s="4"/>
      <c r="M54" s="4">
        <v>1000</v>
      </c>
      <c r="N54" s="4"/>
      <c r="P54" s="7"/>
      <c r="Q54" s="8"/>
      <c r="R54" s="9"/>
      <c r="S54" s="9"/>
      <c r="T54" s="9"/>
      <c r="U54" s="9"/>
    </row>
    <row r="55" spans="1:21" ht="15.75" x14ac:dyDescent="0.25">
      <c r="A55" s="179"/>
      <c r="B55" s="179"/>
      <c r="C55" s="179"/>
      <c r="D55" s="181">
        <f>SUM(D53:D54)</f>
        <v>56600</v>
      </c>
      <c r="E55" s="181">
        <f>SUM(E53:E54)</f>
        <v>56600</v>
      </c>
      <c r="H55" s="377" t="s">
        <v>366</v>
      </c>
      <c r="I55" s="378" t="s">
        <v>1620</v>
      </c>
      <c r="J55" s="379">
        <v>0</v>
      </c>
      <c r="K55" s="4"/>
      <c r="L55" s="4"/>
      <c r="M55" s="4"/>
      <c r="N55" s="4"/>
      <c r="P55" s="7" t="s">
        <v>1820</v>
      </c>
      <c r="Q55" s="8" t="s">
        <v>1821</v>
      </c>
      <c r="R55" s="9">
        <v>11300.46</v>
      </c>
      <c r="S55" s="9">
        <v>0</v>
      </c>
      <c r="T55" s="9">
        <v>5156.8999999999996</v>
      </c>
      <c r="U55" s="9">
        <v>0</v>
      </c>
    </row>
    <row r="56" spans="1:21" ht="15.75" x14ac:dyDescent="0.25">
      <c r="H56" s="377" t="s">
        <v>1621</v>
      </c>
      <c r="I56" s="378" t="s">
        <v>1622</v>
      </c>
      <c r="J56" s="379">
        <v>200</v>
      </c>
      <c r="K56" s="4"/>
      <c r="L56" s="4"/>
      <c r="M56" s="4"/>
      <c r="N56" s="4"/>
      <c r="P56" s="7" t="s">
        <v>1822</v>
      </c>
      <c r="Q56" s="8" t="s">
        <v>1823</v>
      </c>
      <c r="R56" s="9">
        <v>0</v>
      </c>
      <c r="S56" s="9">
        <v>0</v>
      </c>
      <c r="T56" s="9">
        <v>0</v>
      </c>
      <c r="U56" s="9">
        <v>0</v>
      </c>
    </row>
    <row r="57" spans="1:21" ht="15.75" x14ac:dyDescent="0.25">
      <c r="H57" s="377" t="s">
        <v>1623</v>
      </c>
      <c r="I57" s="378" t="s">
        <v>1624</v>
      </c>
      <c r="J57" s="379">
        <v>-500</v>
      </c>
      <c r="K57" s="4"/>
      <c r="L57" s="4"/>
      <c r="M57" s="4"/>
      <c r="N57" s="4"/>
      <c r="P57" s="7" t="s">
        <v>1824</v>
      </c>
      <c r="Q57" s="8" t="s">
        <v>1825</v>
      </c>
      <c r="R57" s="9">
        <v>0</v>
      </c>
      <c r="S57" s="9">
        <v>0</v>
      </c>
      <c r="T57" s="9">
        <v>0</v>
      </c>
      <c r="U57" s="9">
        <v>0</v>
      </c>
    </row>
    <row r="58" spans="1:21" ht="15.75" x14ac:dyDescent="0.25">
      <c r="H58" s="377" t="s">
        <v>1625</v>
      </c>
      <c r="I58" s="378" t="s">
        <v>1626</v>
      </c>
      <c r="J58" s="379">
        <v>0</v>
      </c>
      <c r="K58" s="4"/>
      <c r="L58" s="4"/>
      <c r="M58" s="4"/>
      <c r="N58" s="4"/>
      <c r="P58" s="7" t="s">
        <v>1826</v>
      </c>
      <c r="Q58" s="8" t="s">
        <v>1827</v>
      </c>
      <c r="R58" s="9">
        <v>0</v>
      </c>
      <c r="S58" s="9">
        <v>0</v>
      </c>
      <c r="T58" s="9">
        <v>0</v>
      </c>
      <c r="U58" s="9">
        <v>0</v>
      </c>
    </row>
    <row r="59" spans="1:21" ht="15.75" x14ac:dyDescent="0.25">
      <c r="H59" s="377" t="s">
        <v>1627</v>
      </c>
      <c r="I59" s="378" t="s">
        <v>1628</v>
      </c>
      <c r="J59" s="379">
        <v>4755</v>
      </c>
      <c r="K59" s="4"/>
      <c r="L59" s="4"/>
      <c r="M59" s="4">
        <v>5000</v>
      </c>
      <c r="N59" s="4"/>
      <c r="P59" s="7" t="s">
        <v>1828</v>
      </c>
      <c r="Q59" s="8" t="s">
        <v>1829</v>
      </c>
      <c r="R59" s="9">
        <v>1733.22</v>
      </c>
      <c r="S59" s="9">
        <v>0</v>
      </c>
      <c r="T59" s="9">
        <v>7030.07</v>
      </c>
      <c r="U59" s="9">
        <v>0</v>
      </c>
    </row>
    <row r="60" spans="1:21" ht="15.75" x14ac:dyDescent="0.25">
      <c r="H60" s="377" t="s">
        <v>1629</v>
      </c>
      <c r="I60" s="378" t="s">
        <v>1630</v>
      </c>
      <c r="J60" s="379">
        <v>0</v>
      </c>
      <c r="K60" s="4"/>
      <c r="L60" s="4"/>
      <c r="M60" s="4"/>
      <c r="N60" s="4"/>
      <c r="P60" s="7" t="s">
        <v>1830</v>
      </c>
      <c r="Q60" s="8" t="s">
        <v>1831</v>
      </c>
      <c r="R60" s="9">
        <v>0</v>
      </c>
      <c r="S60" s="9">
        <v>0</v>
      </c>
      <c r="T60" s="9">
        <v>488.56</v>
      </c>
      <c r="U60" s="9">
        <v>0</v>
      </c>
    </row>
    <row r="61" spans="1:21" ht="15.75" x14ac:dyDescent="0.25">
      <c r="H61" s="377" t="s">
        <v>1631</v>
      </c>
      <c r="I61" s="378" t="s">
        <v>1632</v>
      </c>
      <c r="J61" s="379">
        <v>0</v>
      </c>
      <c r="K61" s="4"/>
      <c r="L61" s="4"/>
      <c r="M61" s="4"/>
      <c r="N61" s="4"/>
      <c r="P61" s="7" t="s">
        <v>1832</v>
      </c>
      <c r="Q61" s="8" t="s">
        <v>1833</v>
      </c>
      <c r="R61" s="9">
        <v>636.02</v>
      </c>
      <c r="S61" s="9">
        <v>0</v>
      </c>
      <c r="T61" s="9">
        <v>242.87</v>
      </c>
      <c r="U61" s="9">
        <v>0</v>
      </c>
    </row>
    <row r="62" spans="1:21" ht="15.75" x14ac:dyDescent="0.25">
      <c r="H62" s="377" t="s">
        <v>1633</v>
      </c>
      <c r="I62" s="378" t="s">
        <v>1634</v>
      </c>
      <c r="J62" s="379">
        <v>0</v>
      </c>
      <c r="K62" s="4"/>
      <c r="L62" s="4"/>
      <c r="M62" s="4"/>
      <c r="N62" s="4"/>
      <c r="P62" s="7" t="s">
        <v>1834</v>
      </c>
      <c r="Q62" s="8" t="s">
        <v>1835</v>
      </c>
      <c r="R62" s="9">
        <v>3383.9</v>
      </c>
      <c r="S62" s="9">
        <v>0</v>
      </c>
      <c r="T62" s="9">
        <v>9905.89</v>
      </c>
      <c r="U62" s="9">
        <v>0</v>
      </c>
    </row>
    <row r="63" spans="1:21" ht="15.75" x14ac:dyDescent="0.25">
      <c r="H63" s="377" t="s">
        <v>1635</v>
      </c>
      <c r="I63" s="378" t="s">
        <v>1636</v>
      </c>
      <c r="J63" s="379">
        <v>0</v>
      </c>
      <c r="K63" s="4"/>
      <c r="L63" s="4"/>
      <c r="M63" s="4"/>
      <c r="N63" s="4"/>
      <c r="P63" s="7" t="s">
        <v>1836</v>
      </c>
      <c r="Q63" s="8" t="s">
        <v>1837</v>
      </c>
      <c r="R63" s="9">
        <v>0</v>
      </c>
      <c r="S63" s="9">
        <v>0</v>
      </c>
      <c r="T63" s="9">
        <v>131.46</v>
      </c>
      <c r="U63" s="9">
        <v>0</v>
      </c>
    </row>
    <row r="64" spans="1:21" ht="15.75" x14ac:dyDescent="0.25">
      <c r="H64" s="377" t="s">
        <v>1637</v>
      </c>
      <c r="I64" s="378" t="s">
        <v>1638</v>
      </c>
      <c r="J64" s="379">
        <v>177.48</v>
      </c>
      <c r="K64" s="4"/>
      <c r="L64" s="4"/>
      <c r="M64" s="4"/>
      <c r="N64" s="4"/>
      <c r="P64" s="7" t="s">
        <v>1838</v>
      </c>
      <c r="Q64" s="8" t="s">
        <v>1839</v>
      </c>
      <c r="R64" s="9">
        <v>0</v>
      </c>
      <c r="S64" s="9">
        <v>0</v>
      </c>
      <c r="T64" s="9">
        <v>0</v>
      </c>
      <c r="U64" s="9">
        <v>0</v>
      </c>
    </row>
    <row r="65" spans="4:21" ht="15.75" x14ac:dyDescent="0.25">
      <c r="H65" s="377" t="s">
        <v>1639</v>
      </c>
      <c r="I65" s="378" t="s">
        <v>1640</v>
      </c>
      <c r="J65" s="379">
        <v>0</v>
      </c>
      <c r="K65" s="4"/>
      <c r="L65" s="4"/>
      <c r="M65" s="4"/>
      <c r="N65" s="4"/>
      <c r="P65" s="7"/>
      <c r="Q65" s="8"/>
      <c r="R65" s="9"/>
      <c r="S65" s="9"/>
      <c r="T65" s="9">
        <f>SUM(T55:T64)</f>
        <v>22955.75</v>
      </c>
      <c r="U65" s="9"/>
    </row>
    <row r="66" spans="4:21" ht="15.75" x14ac:dyDescent="0.25">
      <c r="H66" s="377" t="s">
        <v>1641</v>
      </c>
      <c r="I66" s="378" t="s">
        <v>1642</v>
      </c>
      <c r="J66" s="379">
        <v>0</v>
      </c>
      <c r="K66" s="4"/>
      <c r="L66" s="4"/>
      <c r="M66" s="4"/>
      <c r="N66" s="4"/>
      <c r="P66" s="7"/>
      <c r="Q66" s="8"/>
      <c r="R66" s="9"/>
      <c r="S66" s="9"/>
      <c r="T66" s="9"/>
      <c r="U66" s="9"/>
    </row>
    <row r="67" spans="4:21" ht="15.75" x14ac:dyDescent="0.25">
      <c r="H67" s="377" t="s">
        <v>1643</v>
      </c>
      <c r="I67" s="378" t="s">
        <v>1644</v>
      </c>
      <c r="J67" s="379">
        <v>0</v>
      </c>
      <c r="K67" s="4"/>
      <c r="L67" s="4"/>
      <c r="M67" s="4"/>
      <c r="N67" s="4"/>
      <c r="P67" s="7"/>
      <c r="Q67" s="8"/>
      <c r="R67" s="9"/>
      <c r="S67" s="9"/>
      <c r="T67" s="9"/>
      <c r="U67" s="9"/>
    </row>
    <row r="68" spans="4:21" ht="15.75" x14ac:dyDescent="0.25">
      <c r="H68" s="377" t="s">
        <v>1645</v>
      </c>
      <c r="I68" s="378" t="s">
        <v>1646</v>
      </c>
      <c r="J68" s="379">
        <v>0</v>
      </c>
      <c r="K68" s="4"/>
      <c r="L68" s="4"/>
      <c r="M68" s="4"/>
      <c r="N68" s="4"/>
      <c r="P68" s="7"/>
      <c r="Q68" s="8"/>
      <c r="R68" s="9"/>
      <c r="S68" s="9"/>
      <c r="T68" s="9"/>
      <c r="U68" s="9"/>
    </row>
    <row r="69" spans="4:21" ht="15.75" x14ac:dyDescent="0.25">
      <c r="K69" s="4"/>
      <c r="L69" s="4"/>
      <c r="M69" s="4"/>
      <c r="N69" s="4"/>
      <c r="P69" s="7"/>
      <c r="Q69" s="8"/>
      <c r="R69" s="9"/>
      <c r="S69" s="9"/>
      <c r="T69" s="9"/>
      <c r="U69" s="9"/>
    </row>
    <row r="70" spans="4:21" ht="15.75" x14ac:dyDescent="0.25">
      <c r="K70" s="4"/>
      <c r="L70" s="4"/>
      <c r="M70" s="4"/>
      <c r="N70" s="4"/>
      <c r="P70" s="7"/>
      <c r="Q70" s="8"/>
      <c r="R70" s="9"/>
      <c r="S70" s="9"/>
      <c r="T70" s="9"/>
      <c r="U70" s="9"/>
    </row>
    <row r="71" spans="4:21" ht="15.75" x14ac:dyDescent="0.25">
      <c r="D71" s="81"/>
      <c r="E71" s="81"/>
      <c r="K71" s="4"/>
      <c r="L71" s="4"/>
      <c r="M71" s="4"/>
      <c r="N71" s="4"/>
      <c r="P71" s="7"/>
      <c r="Q71" s="8"/>
      <c r="R71" s="9"/>
      <c r="S71" s="9"/>
      <c r="T71" s="9"/>
      <c r="U71" s="9"/>
    </row>
    <row r="72" spans="4:21" ht="15.75" x14ac:dyDescent="0.25">
      <c r="D72" s="22"/>
      <c r="E72" s="22"/>
      <c r="K72" s="4"/>
      <c r="L72" s="4"/>
      <c r="M72" s="4"/>
      <c r="N72" s="4"/>
      <c r="P72" s="7"/>
      <c r="Q72" s="8"/>
      <c r="R72" s="9"/>
      <c r="S72" s="9"/>
      <c r="T72" s="9"/>
      <c r="U72" s="9"/>
    </row>
    <row r="73" spans="4:21" ht="15.75" x14ac:dyDescent="0.25">
      <c r="D73" s="22"/>
      <c r="E73" s="22"/>
      <c r="K73" s="4"/>
      <c r="L73" s="4"/>
      <c r="M73" s="4"/>
      <c r="N73" s="4"/>
      <c r="P73" s="7"/>
      <c r="Q73" s="8"/>
      <c r="R73" s="9"/>
      <c r="S73" s="9"/>
      <c r="T73" s="9"/>
      <c r="U73" s="9"/>
    </row>
    <row r="74" spans="4:21" ht="15.75" x14ac:dyDescent="0.25">
      <c r="D74" s="22"/>
      <c r="E74" s="22"/>
      <c r="K74" s="4"/>
      <c r="L74" s="4"/>
      <c r="M74" s="4"/>
      <c r="N74" s="4"/>
      <c r="P74" s="7"/>
      <c r="Q74" s="8"/>
      <c r="R74" s="9"/>
      <c r="S74" s="9"/>
      <c r="T74" s="9"/>
      <c r="U74" s="9"/>
    </row>
    <row r="75" spans="4:21" ht="15.75" x14ac:dyDescent="0.25">
      <c r="D75" s="22"/>
      <c r="E75" s="22"/>
      <c r="P75" s="7"/>
      <c r="Q75" s="8"/>
      <c r="R75" s="9"/>
      <c r="S75" s="9"/>
      <c r="T75" s="9"/>
      <c r="U75" s="9"/>
    </row>
    <row r="76" spans="4:21" ht="15.75" x14ac:dyDescent="0.25">
      <c r="D76" s="22"/>
      <c r="E76" s="22"/>
      <c r="P76" s="7"/>
      <c r="Q76" s="8"/>
      <c r="R76" s="9"/>
      <c r="S76" s="9"/>
      <c r="T76" s="9"/>
      <c r="U76" s="9"/>
    </row>
    <row r="77" spans="4:21" ht="15.75" x14ac:dyDescent="0.25">
      <c r="D77" s="22"/>
      <c r="E77" s="22"/>
      <c r="P77" s="7"/>
      <c r="Q77" s="8"/>
      <c r="R77" s="9"/>
      <c r="S77" s="9"/>
      <c r="T77" s="9"/>
      <c r="U77" s="9"/>
    </row>
    <row r="78" spans="4:21" ht="15.75" x14ac:dyDescent="0.25">
      <c r="D78" s="22"/>
      <c r="E78" s="22"/>
      <c r="P78" s="7"/>
      <c r="Q78" s="8"/>
      <c r="R78" s="9"/>
      <c r="S78" s="9"/>
      <c r="T78" s="9"/>
      <c r="U78" s="9"/>
    </row>
    <row r="79" spans="4:21" ht="15.75" x14ac:dyDescent="0.25">
      <c r="D79" s="22"/>
      <c r="E79" s="22"/>
      <c r="P79" s="7"/>
      <c r="Q79" s="8"/>
      <c r="R79" s="9"/>
      <c r="S79" s="9"/>
      <c r="T79" s="9"/>
      <c r="U79" s="9"/>
    </row>
    <row r="80" spans="4:21" ht="15.75" x14ac:dyDescent="0.25">
      <c r="D80" s="500"/>
      <c r="E80" s="500"/>
      <c r="P80" s="7"/>
      <c r="Q80" s="8"/>
      <c r="R80" s="9"/>
      <c r="S80" s="9"/>
      <c r="T80" s="9"/>
      <c r="U80" s="9"/>
    </row>
    <row r="81" spans="4:21" ht="15.75" x14ac:dyDescent="0.25">
      <c r="D81" s="22"/>
      <c r="E81" s="22"/>
      <c r="P81" s="7"/>
      <c r="Q81" s="8"/>
      <c r="R81" s="9"/>
      <c r="S81" s="9"/>
      <c r="T81" s="9"/>
      <c r="U81" s="9"/>
    </row>
    <row r="82" spans="4:21" ht="15.75" x14ac:dyDescent="0.25">
      <c r="D82" s="81"/>
      <c r="E82" s="22"/>
      <c r="P82" s="7"/>
      <c r="Q82" s="8"/>
      <c r="R82" s="9"/>
      <c r="S82" s="9"/>
      <c r="T82" s="9"/>
      <c r="U82" s="9"/>
    </row>
    <row r="83" spans="4:21" ht="15.75" x14ac:dyDescent="0.25">
      <c r="D83" s="22"/>
      <c r="E83" s="22"/>
      <c r="P83" s="7"/>
      <c r="Q83" s="8"/>
      <c r="R83" s="9"/>
      <c r="S83" s="9"/>
      <c r="T83" s="9"/>
      <c r="U83" s="9"/>
    </row>
    <row r="84" spans="4:21" ht="15.75" x14ac:dyDescent="0.25">
      <c r="D84" s="22"/>
      <c r="E84" s="22"/>
      <c r="P84" s="7"/>
      <c r="Q84" s="8"/>
      <c r="R84" s="9"/>
      <c r="S84" s="9"/>
      <c r="T84" s="9"/>
      <c r="U84" s="9"/>
    </row>
    <row r="85" spans="4:21" ht="15.75" x14ac:dyDescent="0.25">
      <c r="D85" s="22"/>
      <c r="E85" s="22"/>
      <c r="P85" s="7"/>
      <c r="Q85" s="8"/>
      <c r="R85" s="9"/>
      <c r="S85" s="9"/>
      <c r="T85" s="9"/>
      <c r="U85" s="9"/>
    </row>
    <row r="86" spans="4:21" ht="15.75" x14ac:dyDescent="0.25">
      <c r="P86" s="7"/>
      <c r="Q86" s="8"/>
      <c r="R86" s="9"/>
      <c r="S86" s="9"/>
      <c r="T86" s="9"/>
      <c r="U86" s="9"/>
    </row>
    <row r="87" spans="4:21" ht="15.75" x14ac:dyDescent="0.25">
      <c r="P87" s="7" t="s">
        <v>1741</v>
      </c>
      <c r="Q87" s="8" t="s">
        <v>1742</v>
      </c>
      <c r="R87" s="9">
        <v>34628.74</v>
      </c>
      <c r="S87" s="9">
        <v>0</v>
      </c>
      <c r="T87" s="9">
        <v>26589.95</v>
      </c>
      <c r="U87" s="9">
        <v>0</v>
      </c>
    </row>
    <row r="88" spans="4:21" ht="15.75" x14ac:dyDescent="0.25">
      <c r="P88" s="7" t="s">
        <v>1743</v>
      </c>
      <c r="Q88" s="8" t="s">
        <v>1744</v>
      </c>
      <c r="R88" s="9">
        <v>0</v>
      </c>
      <c r="S88" s="9">
        <v>0</v>
      </c>
      <c r="T88" s="9">
        <v>0</v>
      </c>
      <c r="U88" s="9">
        <v>0</v>
      </c>
    </row>
    <row r="89" spans="4:21" ht="15.75" x14ac:dyDescent="0.25">
      <c r="P89" s="7" t="s">
        <v>1745</v>
      </c>
      <c r="Q89" s="8" t="s">
        <v>1746</v>
      </c>
      <c r="R89" s="9">
        <v>0</v>
      </c>
      <c r="S89" s="9">
        <v>0</v>
      </c>
      <c r="T89" s="9">
        <v>4553.8999999999996</v>
      </c>
      <c r="U89" s="9">
        <v>0</v>
      </c>
    </row>
    <row r="90" spans="4:21" ht="15.75" x14ac:dyDescent="0.25">
      <c r="P90" s="7" t="s">
        <v>1747</v>
      </c>
      <c r="Q90" s="8" t="s">
        <v>407</v>
      </c>
      <c r="R90" s="9">
        <v>0</v>
      </c>
      <c r="S90" s="9">
        <v>0</v>
      </c>
      <c r="T90" s="9">
        <v>0</v>
      </c>
      <c r="U90" s="9">
        <v>0</v>
      </c>
    </row>
    <row r="91" spans="4:21" ht="15.75" x14ac:dyDescent="0.25">
      <c r="P91" s="7" t="s">
        <v>1748</v>
      </c>
      <c r="Q91" s="8" t="s">
        <v>1272</v>
      </c>
      <c r="R91" s="9">
        <v>0</v>
      </c>
      <c r="S91" s="9">
        <v>0</v>
      </c>
      <c r="T91" s="9">
        <v>0</v>
      </c>
      <c r="U91" s="9">
        <v>0</v>
      </c>
    </row>
    <row r="92" spans="4:21" ht="15.75" x14ac:dyDescent="0.25">
      <c r="P92" s="7" t="s">
        <v>1749</v>
      </c>
      <c r="Q92" s="8" t="s">
        <v>1274</v>
      </c>
      <c r="R92" s="9">
        <v>0</v>
      </c>
      <c r="S92" s="9">
        <v>0</v>
      </c>
      <c r="T92" s="9">
        <v>0</v>
      </c>
      <c r="U92" s="9">
        <v>0</v>
      </c>
    </row>
    <row r="93" spans="4:21" ht="15.75" x14ac:dyDescent="0.25">
      <c r="P93" s="7" t="s">
        <v>1750</v>
      </c>
      <c r="Q93" s="8" t="s">
        <v>1751</v>
      </c>
      <c r="R93" s="9">
        <v>0</v>
      </c>
      <c r="S93" s="9">
        <v>0</v>
      </c>
      <c r="T93" s="9">
        <v>0</v>
      </c>
      <c r="U93" s="9">
        <v>0</v>
      </c>
    </row>
    <row r="94" spans="4:21" ht="15.75" x14ac:dyDescent="0.25">
      <c r="P94" s="7" t="s">
        <v>1752</v>
      </c>
      <c r="Q94" s="8" t="s">
        <v>1753</v>
      </c>
      <c r="R94" s="9">
        <v>0</v>
      </c>
      <c r="S94" s="9">
        <v>0</v>
      </c>
      <c r="T94" s="9">
        <v>0</v>
      </c>
      <c r="U94" s="9">
        <v>0</v>
      </c>
    </row>
    <row r="95" spans="4:21" ht="15.75" x14ac:dyDescent="0.25">
      <c r="P95" s="7" t="s">
        <v>1754</v>
      </c>
      <c r="Q95" s="8" t="s">
        <v>1755</v>
      </c>
      <c r="R95" s="9">
        <v>0</v>
      </c>
      <c r="S95" s="9">
        <v>0</v>
      </c>
      <c r="T95" s="9">
        <v>0</v>
      </c>
      <c r="U95" s="9">
        <v>0</v>
      </c>
    </row>
    <row r="96" spans="4:21" ht="15.75" x14ac:dyDescent="0.25">
      <c r="P96" s="7" t="s">
        <v>1756</v>
      </c>
      <c r="Q96" s="8" t="s">
        <v>1757</v>
      </c>
      <c r="R96" s="9">
        <v>3025.8</v>
      </c>
      <c r="S96" s="9">
        <v>0</v>
      </c>
      <c r="T96" s="9">
        <v>3642.11</v>
      </c>
      <c r="U96" s="9">
        <v>0</v>
      </c>
    </row>
    <row r="97" spans="16:21" ht="15.75" x14ac:dyDescent="0.25">
      <c r="P97" s="7" t="s">
        <v>1758</v>
      </c>
      <c r="Q97" s="8" t="s">
        <v>1759</v>
      </c>
      <c r="R97" s="9">
        <v>414</v>
      </c>
      <c r="S97" s="9">
        <v>0</v>
      </c>
      <c r="T97" s="9">
        <v>500.54</v>
      </c>
      <c r="U97" s="9">
        <v>0</v>
      </c>
    </row>
    <row r="98" spans="16:21" ht="15.75" x14ac:dyDescent="0.25">
      <c r="P98" s="7" t="s">
        <v>1760</v>
      </c>
      <c r="Q98" s="8" t="s">
        <v>1761</v>
      </c>
      <c r="R98" s="9">
        <v>4102.54</v>
      </c>
      <c r="S98" s="9">
        <v>0</v>
      </c>
      <c r="T98" s="9">
        <v>2101.21</v>
      </c>
      <c r="U98" s="9">
        <v>0</v>
      </c>
    </row>
    <row r="99" spans="16:21" ht="15.75" x14ac:dyDescent="0.25">
      <c r="P99" s="7" t="s">
        <v>1762</v>
      </c>
      <c r="Q99" s="8" t="s">
        <v>1763</v>
      </c>
      <c r="R99" s="9">
        <v>1501.94</v>
      </c>
      <c r="S99" s="9">
        <v>0</v>
      </c>
      <c r="T99" s="9">
        <v>3377.43</v>
      </c>
      <c r="U99" s="9">
        <v>0</v>
      </c>
    </row>
    <row r="100" spans="16:21" ht="15.75" x14ac:dyDescent="0.25">
      <c r="P100" s="7" t="s">
        <v>1764</v>
      </c>
      <c r="Q100" s="8" t="s">
        <v>1765</v>
      </c>
      <c r="R100" s="9">
        <v>0</v>
      </c>
      <c r="S100" s="9">
        <v>0</v>
      </c>
      <c r="T100" s="9">
        <v>0</v>
      </c>
      <c r="U100" s="9">
        <v>0</v>
      </c>
    </row>
    <row r="101" spans="16:21" ht="15.75" x14ac:dyDescent="0.25">
      <c r="P101" s="7" t="s">
        <v>1766</v>
      </c>
      <c r="Q101" s="8" t="s">
        <v>104</v>
      </c>
      <c r="R101" s="9">
        <v>1072.58</v>
      </c>
      <c r="S101" s="9">
        <v>0</v>
      </c>
      <c r="T101" s="9">
        <v>1129.26</v>
      </c>
      <c r="U101" s="9">
        <v>0</v>
      </c>
    </row>
    <row r="102" spans="16:21" ht="15.75" x14ac:dyDescent="0.25">
      <c r="P102" s="7" t="s">
        <v>1767</v>
      </c>
      <c r="Q102" s="8" t="s">
        <v>1768</v>
      </c>
      <c r="R102" s="9">
        <v>0</v>
      </c>
      <c r="S102" s="9">
        <v>0</v>
      </c>
      <c r="T102" s="9">
        <v>0</v>
      </c>
      <c r="U102" s="9">
        <v>0</v>
      </c>
    </row>
    <row r="103" spans="16:21" ht="15.75" x14ac:dyDescent="0.25">
      <c r="P103" s="7" t="s">
        <v>1769</v>
      </c>
      <c r="Q103" s="8" t="s">
        <v>1770</v>
      </c>
      <c r="R103" s="9">
        <v>0</v>
      </c>
      <c r="S103" s="9">
        <v>0</v>
      </c>
      <c r="T103" s="9">
        <v>0</v>
      </c>
      <c r="U103" s="9">
        <v>0</v>
      </c>
    </row>
    <row r="104" spans="16:21" ht="15.75" x14ac:dyDescent="0.25">
      <c r="P104" s="7" t="s">
        <v>1771</v>
      </c>
      <c r="Q104" s="8" t="s">
        <v>105</v>
      </c>
      <c r="R104" s="9">
        <v>1804.44</v>
      </c>
      <c r="S104" s="9">
        <v>0</v>
      </c>
      <c r="T104" s="9">
        <v>1228.31</v>
      </c>
      <c r="U104" s="9">
        <v>0</v>
      </c>
    </row>
    <row r="105" spans="16:21" ht="15.75" x14ac:dyDescent="0.25">
      <c r="P105" s="7" t="s">
        <v>1772</v>
      </c>
      <c r="Q105" s="8" t="s">
        <v>1773</v>
      </c>
      <c r="R105" s="9">
        <v>0</v>
      </c>
      <c r="S105" s="9">
        <v>0</v>
      </c>
      <c r="T105" s="9">
        <v>0</v>
      </c>
      <c r="U105" s="9">
        <v>0</v>
      </c>
    </row>
    <row r="106" spans="16:21" ht="15.75" x14ac:dyDescent="0.25">
      <c r="P106" s="7" t="s">
        <v>1774</v>
      </c>
      <c r="Q106" s="8" t="s">
        <v>617</v>
      </c>
      <c r="R106" s="9">
        <v>913.22</v>
      </c>
      <c r="S106" s="9">
        <v>0</v>
      </c>
      <c r="T106" s="9">
        <v>772.01</v>
      </c>
      <c r="U106" s="9">
        <v>0</v>
      </c>
    </row>
    <row r="107" spans="16:21" ht="15.75" x14ac:dyDescent="0.25">
      <c r="P107" s="7" t="s">
        <v>1775</v>
      </c>
      <c r="Q107" s="8" t="s">
        <v>1776</v>
      </c>
      <c r="R107" s="9">
        <v>0</v>
      </c>
      <c r="S107" s="9">
        <v>0</v>
      </c>
      <c r="T107" s="9">
        <v>0</v>
      </c>
      <c r="U107" s="9">
        <v>0</v>
      </c>
    </row>
    <row r="108" spans="16:21" ht="15.75" x14ac:dyDescent="0.25">
      <c r="P108" s="7" t="s">
        <v>1777</v>
      </c>
      <c r="Q108" s="8" t="s">
        <v>720</v>
      </c>
      <c r="R108" s="9">
        <v>0</v>
      </c>
      <c r="S108" s="9">
        <v>0</v>
      </c>
      <c r="T108" s="9">
        <v>0</v>
      </c>
      <c r="U108" s="9">
        <v>0</v>
      </c>
    </row>
    <row r="109" spans="16:21" ht="15.75" x14ac:dyDescent="0.25">
      <c r="P109" s="7" t="s">
        <v>1778</v>
      </c>
      <c r="Q109" s="8" t="s">
        <v>1779</v>
      </c>
      <c r="R109" s="9">
        <v>2600</v>
      </c>
      <c r="S109" s="9">
        <v>0</v>
      </c>
      <c r="T109" s="9">
        <v>0</v>
      </c>
      <c r="U109" s="9">
        <v>0</v>
      </c>
    </row>
    <row r="110" spans="16:21" ht="15.75" x14ac:dyDescent="0.25">
      <c r="P110" s="7" t="s">
        <v>1780</v>
      </c>
      <c r="Q110" s="8" t="s">
        <v>43</v>
      </c>
      <c r="R110" s="9">
        <v>32775.83</v>
      </c>
      <c r="S110" s="9">
        <v>0</v>
      </c>
      <c r="T110" s="9">
        <v>27676.23</v>
      </c>
      <c r="U110" s="9">
        <v>0</v>
      </c>
    </row>
    <row r="111" spans="16:21" ht="15.75" x14ac:dyDescent="0.25">
      <c r="P111" s="7" t="s">
        <v>1781</v>
      </c>
      <c r="Q111" s="8" t="s">
        <v>1782</v>
      </c>
      <c r="R111" s="9">
        <v>1564.46</v>
      </c>
      <c r="S111" s="9">
        <v>0</v>
      </c>
      <c r="T111" s="9">
        <v>773.44</v>
      </c>
      <c r="U111" s="9">
        <v>0</v>
      </c>
    </row>
    <row r="112" spans="16:21" ht="15.75" x14ac:dyDescent="0.25">
      <c r="P112" s="7" t="s">
        <v>1783</v>
      </c>
      <c r="Q112" s="8" t="s">
        <v>847</v>
      </c>
      <c r="R112" s="9">
        <v>0</v>
      </c>
      <c r="S112" s="9">
        <v>0</v>
      </c>
      <c r="T112" s="9">
        <v>0</v>
      </c>
      <c r="U112" s="9">
        <v>0</v>
      </c>
    </row>
    <row r="113" spans="16:21" ht="15.75" x14ac:dyDescent="0.25">
      <c r="P113" s="7" t="s">
        <v>1784</v>
      </c>
      <c r="Q113" s="8" t="s">
        <v>1785</v>
      </c>
      <c r="R113" s="9">
        <v>0</v>
      </c>
      <c r="S113" s="9">
        <v>0</v>
      </c>
      <c r="T113" s="9">
        <v>0</v>
      </c>
      <c r="U113" s="9">
        <v>0</v>
      </c>
    </row>
    <row r="114" spans="16:21" ht="15.75" x14ac:dyDescent="0.25">
      <c r="P114" s="7" t="s">
        <v>1786</v>
      </c>
      <c r="Q114" s="8" t="s">
        <v>52</v>
      </c>
      <c r="R114" s="9">
        <v>7099.95</v>
      </c>
      <c r="S114" s="9">
        <v>0</v>
      </c>
      <c r="T114" s="9">
        <v>11071.26</v>
      </c>
      <c r="U114" s="9">
        <v>0</v>
      </c>
    </row>
    <row r="115" spans="16:21" ht="15.75" x14ac:dyDescent="0.25">
      <c r="P115" s="7" t="s">
        <v>1787</v>
      </c>
      <c r="Q115" s="8" t="s">
        <v>48</v>
      </c>
      <c r="R115" s="9">
        <v>1707.35</v>
      </c>
      <c r="S115" s="9">
        <v>0</v>
      </c>
      <c r="T115" s="9">
        <v>2032</v>
      </c>
      <c r="U115" s="9">
        <v>0</v>
      </c>
    </row>
    <row r="116" spans="16:21" ht="15.75" x14ac:dyDescent="0.25">
      <c r="P116" s="7" t="s">
        <v>1788</v>
      </c>
      <c r="Q116" s="8" t="s">
        <v>1789</v>
      </c>
      <c r="R116" s="9">
        <v>246</v>
      </c>
      <c r="S116" s="9">
        <v>0</v>
      </c>
      <c r="T116" s="9">
        <v>246</v>
      </c>
      <c r="U116" s="9">
        <v>0</v>
      </c>
    </row>
    <row r="117" spans="16:21" ht="15.75" x14ac:dyDescent="0.25">
      <c r="P117" s="7" t="s">
        <v>1790</v>
      </c>
      <c r="Q117" s="8" t="s">
        <v>106</v>
      </c>
      <c r="R117" s="9">
        <v>0</v>
      </c>
      <c r="S117" s="9">
        <v>0</v>
      </c>
      <c r="T117" s="9">
        <v>0</v>
      </c>
      <c r="U117" s="9">
        <v>0</v>
      </c>
    </row>
    <row r="118" spans="16:21" ht="15.75" x14ac:dyDescent="0.25">
      <c r="P118" s="7" t="s">
        <v>1791</v>
      </c>
      <c r="Q118" s="8" t="s">
        <v>44</v>
      </c>
      <c r="R118" s="9">
        <v>5462.49</v>
      </c>
      <c r="S118" s="9">
        <v>0</v>
      </c>
      <c r="T118" s="9">
        <v>8571.25</v>
      </c>
      <c r="U118" s="9">
        <v>0</v>
      </c>
    </row>
    <row r="119" spans="16:21" ht="15.75" x14ac:dyDescent="0.25">
      <c r="P119" s="7" t="s">
        <v>1792</v>
      </c>
      <c r="Q119" s="8" t="s">
        <v>1793</v>
      </c>
      <c r="R119" s="9">
        <v>500</v>
      </c>
      <c r="S119" s="9">
        <v>0</v>
      </c>
      <c r="T119" s="9">
        <v>210.02</v>
      </c>
      <c r="U119" s="9">
        <v>0</v>
      </c>
    </row>
    <row r="120" spans="16:21" ht="15.75" x14ac:dyDescent="0.25">
      <c r="P120" s="7" t="s">
        <v>1794</v>
      </c>
      <c r="Q120" s="8" t="s">
        <v>1795</v>
      </c>
      <c r="R120" s="9">
        <v>220.62</v>
      </c>
      <c r="S120" s="9">
        <v>0</v>
      </c>
      <c r="T120" s="9">
        <v>0</v>
      </c>
      <c r="U120" s="9">
        <v>0</v>
      </c>
    </row>
    <row r="121" spans="16:21" ht="15.75" x14ac:dyDescent="0.25">
      <c r="P121" s="7" t="s">
        <v>1796</v>
      </c>
      <c r="Q121" s="8" t="s">
        <v>1797</v>
      </c>
      <c r="R121" s="9">
        <v>0</v>
      </c>
      <c r="S121" s="9">
        <v>0</v>
      </c>
      <c r="T121" s="9">
        <v>0</v>
      </c>
      <c r="U121" s="9">
        <v>0</v>
      </c>
    </row>
    <row r="122" spans="16:21" ht="15.75" x14ac:dyDescent="0.25">
      <c r="P122" s="7" t="s">
        <v>1798</v>
      </c>
      <c r="Q122" s="8" t="s">
        <v>538</v>
      </c>
      <c r="R122" s="9">
        <v>0</v>
      </c>
      <c r="S122" s="9">
        <v>0</v>
      </c>
      <c r="T122" s="9">
        <v>0</v>
      </c>
      <c r="U122" s="9">
        <v>0</v>
      </c>
    </row>
    <row r="123" spans="16:21" ht="15.75" x14ac:dyDescent="0.25">
      <c r="P123" s="7" t="s">
        <v>1799</v>
      </c>
      <c r="Q123" s="8" t="s">
        <v>1800</v>
      </c>
      <c r="R123" s="9">
        <v>0</v>
      </c>
      <c r="S123" s="9">
        <v>0</v>
      </c>
      <c r="T123" s="9">
        <v>0</v>
      </c>
      <c r="U123" s="9">
        <v>0</v>
      </c>
    </row>
    <row r="124" spans="16:21" ht="15.75" x14ac:dyDescent="0.25">
      <c r="P124" s="7" t="s">
        <v>1801</v>
      </c>
      <c r="Q124" s="8" t="s">
        <v>1802</v>
      </c>
      <c r="R124" s="9">
        <v>322.17</v>
      </c>
      <c r="S124" s="9">
        <v>0</v>
      </c>
      <c r="T124" s="9">
        <v>1216.5999999999999</v>
      </c>
      <c r="U124" s="9">
        <v>0</v>
      </c>
    </row>
    <row r="125" spans="16:21" ht="15.75" x14ac:dyDescent="0.25">
      <c r="P125" s="7" t="s">
        <v>1803</v>
      </c>
      <c r="Q125" s="8" t="s">
        <v>1804</v>
      </c>
      <c r="R125" s="9">
        <v>0</v>
      </c>
      <c r="S125" s="9">
        <v>0</v>
      </c>
      <c r="T125" s="9">
        <v>0</v>
      </c>
      <c r="U125" s="9">
        <v>0</v>
      </c>
    </row>
    <row r="126" spans="16:21" ht="15.75" x14ac:dyDescent="0.25">
      <c r="P126" s="7" t="s">
        <v>1805</v>
      </c>
      <c r="Q126" s="8" t="s">
        <v>1806</v>
      </c>
      <c r="R126" s="9">
        <v>3172.7</v>
      </c>
      <c r="S126" s="9">
        <v>0</v>
      </c>
      <c r="T126" s="9">
        <v>7513.37</v>
      </c>
      <c r="U126" s="9">
        <v>0</v>
      </c>
    </row>
    <row r="127" spans="16:21" ht="15.75" x14ac:dyDescent="0.25">
      <c r="P127" s="7" t="s">
        <v>1807</v>
      </c>
      <c r="Q127" s="8" t="s">
        <v>1808</v>
      </c>
      <c r="R127" s="9">
        <v>0</v>
      </c>
      <c r="S127" s="9">
        <v>0</v>
      </c>
      <c r="T127" s="9">
        <v>0</v>
      </c>
      <c r="U127" s="9">
        <v>0</v>
      </c>
    </row>
    <row r="128" spans="16:21" ht="15.75" x14ac:dyDescent="0.25">
      <c r="P128" s="7" t="s">
        <v>1809</v>
      </c>
      <c r="Q128" s="8" t="s">
        <v>33</v>
      </c>
      <c r="R128" s="9">
        <v>3364.33</v>
      </c>
      <c r="S128" s="9">
        <v>0</v>
      </c>
      <c r="T128" s="9">
        <v>0</v>
      </c>
      <c r="U128" s="9">
        <v>0</v>
      </c>
    </row>
    <row r="129" spans="16:21" ht="15.75" x14ac:dyDescent="0.25">
      <c r="P129" s="7" t="s">
        <v>1810</v>
      </c>
      <c r="Q129" s="8" t="s">
        <v>107</v>
      </c>
      <c r="R129" s="9">
        <v>500</v>
      </c>
      <c r="S129" s="9">
        <v>0</v>
      </c>
      <c r="T129" s="9">
        <v>590</v>
      </c>
      <c r="U129" s="9">
        <v>0</v>
      </c>
    </row>
    <row r="130" spans="16:21" ht="15.75" x14ac:dyDescent="0.25">
      <c r="P130" s="7" t="s">
        <v>1811</v>
      </c>
      <c r="Q130" s="8" t="s">
        <v>1812</v>
      </c>
      <c r="R130" s="9">
        <v>0</v>
      </c>
      <c r="S130" s="9">
        <v>0</v>
      </c>
      <c r="T130" s="9">
        <v>0</v>
      </c>
      <c r="U130" s="9">
        <v>0</v>
      </c>
    </row>
    <row r="131" spans="16:21" ht="15.75" x14ac:dyDescent="0.25">
      <c r="P131" s="7" t="s">
        <v>1813</v>
      </c>
      <c r="Q131" s="8" t="s">
        <v>1295</v>
      </c>
      <c r="R131" s="9">
        <v>303.58</v>
      </c>
      <c r="S131" s="9">
        <v>0</v>
      </c>
      <c r="T131" s="9">
        <v>0</v>
      </c>
      <c r="U131" s="9">
        <v>0</v>
      </c>
    </row>
    <row r="132" spans="16:21" ht="15.75" x14ac:dyDescent="0.25">
      <c r="P132" s="7" t="s">
        <v>1814</v>
      </c>
      <c r="Q132" s="8" t="s">
        <v>108</v>
      </c>
      <c r="R132" s="9">
        <v>311.92</v>
      </c>
      <c r="S132" s="9">
        <v>0</v>
      </c>
      <c r="T132" s="9">
        <v>110</v>
      </c>
      <c r="U132" s="9">
        <v>0</v>
      </c>
    </row>
    <row r="133" spans="16:21" ht="15.75" x14ac:dyDescent="0.25">
      <c r="P133" s="7" t="s">
        <v>1815</v>
      </c>
      <c r="Q133" s="8" t="s">
        <v>1816</v>
      </c>
      <c r="R133" s="9">
        <v>7820.09</v>
      </c>
      <c r="S133" s="9">
        <v>0</v>
      </c>
      <c r="T133" s="9">
        <v>0</v>
      </c>
      <c r="U133" s="9">
        <v>0</v>
      </c>
    </row>
    <row r="134" spans="16:21" ht="15.75" x14ac:dyDescent="0.25">
      <c r="P134" s="7" t="s">
        <v>1005</v>
      </c>
      <c r="Q134" s="8" t="s">
        <v>1008</v>
      </c>
      <c r="R134" s="9">
        <v>0</v>
      </c>
      <c r="S134" s="9">
        <v>0</v>
      </c>
      <c r="T134" s="9">
        <v>0</v>
      </c>
      <c r="U134" s="9">
        <v>0</v>
      </c>
    </row>
    <row r="135" spans="16:21" ht="15.75" x14ac:dyDescent="0.25">
      <c r="P135" s="7" t="s">
        <v>1007</v>
      </c>
      <c r="Q135" s="8" t="s">
        <v>1817</v>
      </c>
      <c r="R135" s="9">
        <v>0</v>
      </c>
      <c r="S135" s="9">
        <v>0</v>
      </c>
      <c r="T135" s="9">
        <v>0</v>
      </c>
      <c r="U135" s="9">
        <v>0</v>
      </c>
    </row>
    <row r="136" spans="16:21" ht="15.75" x14ac:dyDescent="0.25">
      <c r="P136" s="7" t="s">
        <v>1818</v>
      </c>
      <c r="Q136" s="8" t="s">
        <v>1819</v>
      </c>
      <c r="R136" s="9">
        <v>0</v>
      </c>
      <c r="S136" s="9">
        <v>0</v>
      </c>
      <c r="T136" s="9">
        <v>0</v>
      </c>
      <c r="U136" s="9">
        <v>0</v>
      </c>
    </row>
    <row r="147" spans="16:21" ht="15.75" x14ac:dyDescent="0.25">
      <c r="P147" s="7" t="s">
        <v>1840</v>
      </c>
      <c r="Q147" s="8" t="s">
        <v>1841</v>
      </c>
      <c r="R147" s="9">
        <v>0</v>
      </c>
      <c r="S147" s="9">
        <v>0</v>
      </c>
      <c r="T147" s="9">
        <v>0</v>
      </c>
      <c r="U147" s="9">
        <v>0</v>
      </c>
    </row>
    <row r="148" spans="16:21" ht="15.75" x14ac:dyDescent="0.25">
      <c r="P148" s="7" t="s">
        <v>1842</v>
      </c>
      <c r="Q148" s="8" t="s">
        <v>194</v>
      </c>
      <c r="R148" s="9">
        <v>0</v>
      </c>
      <c r="S148" s="9">
        <v>0</v>
      </c>
      <c r="T148" s="9">
        <v>68523.070000000007</v>
      </c>
      <c r="U148" s="9">
        <v>0</v>
      </c>
    </row>
    <row r="149" spans="16:21" ht="15.75" x14ac:dyDescent="0.25">
      <c r="P149" s="7" t="s">
        <v>1843</v>
      </c>
      <c r="Q149" s="8" t="s">
        <v>1844</v>
      </c>
      <c r="R149" s="385">
        <v>0</v>
      </c>
      <c r="S149" s="385">
        <v>0</v>
      </c>
      <c r="T149" s="385">
        <v>0</v>
      </c>
      <c r="U149" s="385">
        <v>0</v>
      </c>
    </row>
    <row r="150" spans="16:21" ht="15.75" x14ac:dyDescent="0.25">
      <c r="P150" s="17"/>
      <c r="Q150" s="17"/>
      <c r="R150" s="17"/>
      <c r="S150" s="17"/>
      <c r="T150" s="17"/>
      <c r="U150" s="17"/>
    </row>
    <row r="151" spans="16:21" ht="16.5" thickBot="1" x14ac:dyDescent="0.3">
      <c r="P151" s="381"/>
      <c r="Q151" s="381"/>
      <c r="R151" s="386">
        <f>SUBTOTAL(9,R9:R149)</f>
        <v>132488.35000000003</v>
      </c>
      <c r="S151" s="386">
        <f>SUBTOTAL(9,S9:S149)</f>
        <v>105971.88999999998</v>
      </c>
      <c r="T151" s="386">
        <f>SUBTOTAL(9,T9:T149)</f>
        <v>218339.45999999996</v>
      </c>
      <c r="U151" s="386">
        <f>SUBTOTAL(9,U9:U149)</f>
        <v>77307.34</v>
      </c>
    </row>
    <row r="152" spans="16:21" ht="15.75" thickTop="1" x14ac:dyDescent="0.25"/>
  </sheetData>
  <sortState xmlns:xlrd2="http://schemas.microsoft.com/office/spreadsheetml/2017/richdata2" ref="A6:E55">
    <sortCondition ref="B6:B55"/>
    <sortCondition ref="C6:C5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B255A-8D2A-43B3-AEED-FD4350927956}">
  <dimension ref="A1:N162"/>
  <sheetViews>
    <sheetView topLeftCell="A12" workbookViewId="0">
      <selection activeCell="A33" sqref="A33"/>
    </sheetView>
  </sheetViews>
  <sheetFormatPr defaultRowHeight="15" x14ac:dyDescent="0.25"/>
  <cols>
    <col min="1" max="1" width="40.5703125" customWidth="1"/>
    <col min="3" max="3" width="15.85546875" style="4" customWidth="1"/>
    <col min="4" max="4" width="17.85546875" style="2" customWidth="1"/>
    <col min="5" max="5" width="16.5703125" style="4" customWidth="1"/>
    <col min="6" max="6" width="17.7109375" customWidth="1"/>
    <col min="7" max="7" width="9.140625" style="122"/>
    <col min="8" max="8" width="11.140625" style="126" customWidth="1"/>
    <col min="9" max="9" width="14.140625" style="126" customWidth="1"/>
    <col min="11" max="11" width="9.7109375" bestFit="1" customWidth="1"/>
  </cols>
  <sheetData>
    <row r="1" spans="1:13" x14ac:dyDescent="0.25">
      <c r="A1" s="210"/>
      <c r="B1" s="210"/>
      <c r="C1" s="213"/>
      <c r="D1" s="211"/>
      <c r="E1" s="212"/>
      <c r="F1" s="210"/>
    </row>
    <row r="2" spans="1:13" s="3" customFormat="1" ht="26.25" x14ac:dyDescent="0.4">
      <c r="A2" s="214" t="s">
        <v>372</v>
      </c>
      <c r="B2" s="222" t="s">
        <v>85</v>
      </c>
      <c r="C2" s="216"/>
      <c r="D2" s="224"/>
      <c r="E2" s="215"/>
      <c r="F2" s="223"/>
      <c r="G2" s="123"/>
      <c r="H2" s="127"/>
      <c r="I2" s="127"/>
    </row>
    <row r="3" spans="1:13" s="3" customFormat="1" ht="21" x14ac:dyDescent="0.35">
      <c r="A3" s="217" t="s">
        <v>0</v>
      </c>
      <c r="B3" s="227" t="s">
        <v>1413</v>
      </c>
      <c r="C3" s="216"/>
      <c r="D3" s="226"/>
      <c r="E3" s="215"/>
      <c r="F3" s="225"/>
      <c r="G3" s="123"/>
      <c r="H3" s="127"/>
      <c r="I3" s="127"/>
      <c r="J3" s="158" t="s">
        <v>3</v>
      </c>
    </row>
    <row r="4" spans="1:13" x14ac:dyDescent="0.25">
      <c r="A4" s="228"/>
      <c r="B4" s="228"/>
      <c r="C4" s="230"/>
      <c r="D4" s="229"/>
      <c r="E4" s="218" t="s">
        <v>1343</v>
      </c>
      <c r="F4" s="228"/>
      <c r="I4" s="160" t="s">
        <v>1326</v>
      </c>
      <c r="J4" s="161">
        <v>112692</v>
      </c>
      <c r="K4" s="4">
        <v>117700</v>
      </c>
      <c r="L4" s="4">
        <v>100130</v>
      </c>
      <c r="M4" s="4">
        <v>118600</v>
      </c>
    </row>
    <row r="5" spans="1:13" x14ac:dyDescent="0.25">
      <c r="A5" s="228"/>
      <c r="B5" s="228"/>
      <c r="C5" s="221" t="s">
        <v>16</v>
      </c>
      <c r="D5" s="220" t="s">
        <v>16</v>
      </c>
      <c r="E5" s="221" t="s">
        <v>120</v>
      </c>
      <c r="F5" s="219" t="s">
        <v>1457</v>
      </c>
      <c r="I5" s="160" t="s">
        <v>1327</v>
      </c>
      <c r="J5" s="161">
        <v>172246</v>
      </c>
      <c r="K5" s="4">
        <v>183800</v>
      </c>
      <c r="L5" s="4">
        <v>133104</v>
      </c>
      <c r="M5" s="4">
        <v>177400</v>
      </c>
    </row>
    <row r="6" spans="1:13" x14ac:dyDescent="0.25">
      <c r="A6" s="228"/>
      <c r="B6" s="228"/>
      <c r="C6" s="221" t="s">
        <v>121</v>
      </c>
      <c r="D6" s="220" t="s">
        <v>17</v>
      </c>
      <c r="E6" s="221" t="s">
        <v>17</v>
      </c>
      <c r="F6" s="219" t="s">
        <v>19</v>
      </c>
      <c r="I6" s="160"/>
      <c r="J6" s="161">
        <v>-59554</v>
      </c>
      <c r="K6" s="161">
        <v>-66100</v>
      </c>
      <c r="L6" s="161">
        <v>-32974</v>
      </c>
      <c r="M6" s="161">
        <v>-58800</v>
      </c>
    </row>
    <row r="7" spans="1:13" x14ac:dyDescent="0.25">
      <c r="A7" s="231"/>
      <c r="B7" s="231"/>
      <c r="C7" s="233"/>
      <c r="D7" s="233"/>
      <c r="E7" s="233"/>
      <c r="F7" s="232"/>
    </row>
    <row r="8" spans="1:13" s="3" customFormat="1" ht="15.75" thickBot="1" x14ac:dyDescent="0.3">
      <c r="A8" s="237" t="s">
        <v>389</v>
      </c>
      <c r="B8" s="237"/>
      <c r="C8" s="238">
        <v>863187</v>
      </c>
      <c r="D8" s="238">
        <v>808779</v>
      </c>
      <c r="E8" s="238">
        <v>812733</v>
      </c>
      <c r="F8" s="238">
        <v>892280</v>
      </c>
      <c r="G8" s="123"/>
      <c r="H8" s="127"/>
      <c r="I8" s="127"/>
    </row>
    <row r="9" spans="1:13" ht="15.75" thickTop="1" x14ac:dyDescent="0.25">
      <c r="A9" s="234" t="s">
        <v>1280</v>
      </c>
      <c r="B9" s="254"/>
      <c r="C9" s="236">
        <v>811336</v>
      </c>
      <c r="D9" s="236">
        <v>770230</v>
      </c>
      <c r="E9" s="236">
        <v>698324</v>
      </c>
      <c r="F9" s="235">
        <v>771695.38</v>
      </c>
    </row>
    <row r="10" spans="1:13" s="16" customFormat="1" x14ac:dyDescent="0.25">
      <c r="A10" s="251" t="s">
        <v>1466</v>
      </c>
      <c r="B10" s="255" t="s">
        <v>1470</v>
      </c>
      <c r="C10" s="250">
        <f>BOTTLINE!C8-BOTTLINE!C9</f>
        <v>51851</v>
      </c>
      <c r="D10" s="250">
        <f>BOTTLINE!D8-BOTTLINE!D9</f>
        <v>38549</v>
      </c>
      <c r="E10" s="250">
        <f>BOTTLINE!E8-BOTTLINE!E9</f>
        <v>114409</v>
      </c>
      <c r="F10" s="250">
        <f>BOTTLINE!F8-BOTTLINE!F9</f>
        <v>120584.62</v>
      </c>
      <c r="G10" s="128"/>
      <c r="H10" s="129"/>
      <c r="I10" s="129"/>
    </row>
    <row r="11" spans="1:13" x14ac:dyDescent="0.25">
      <c r="A11" s="234"/>
      <c r="B11" s="254"/>
      <c r="C11" s="236"/>
      <c r="D11" s="236"/>
      <c r="E11" s="236"/>
      <c r="F11" s="235"/>
    </row>
    <row r="12" spans="1:13" x14ac:dyDescent="0.25">
      <c r="A12" s="234" t="s">
        <v>1316</v>
      </c>
      <c r="B12" s="254"/>
      <c r="C12" s="193">
        <v>33845</v>
      </c>
      <c r="D12" s="193">
        <v>37136</v>
      </c>
      <c r="E12" s="193">
        <v>37136</v>
      </c>
      <c r="F12" s="193">
        <v>37136</v>
      </c>
    </row>
    <row r="13" spans="1:13" s="16" customFormat="1" x14ac:dyDescent="0.25">
      <c r="A13" s="194" t="s">
        <v>1467</v>
      </c>
      <c r="B13" s="256" t="s">
        <v>1471</v>
      </c>
      <c r="C13" s="201">
        <f>C10-C12</f>
        <v>18006</v>
      </c>
      <c r="D13" s="201">
        <f t="shared" ref="D13:F13" si="0">D10-D12</f>
        <v>1413</v>
      </c>
      <c r="E13" s="201">
        <f t="shared" si="0"/>
        <v>77273</v>
      </c>
      <c r="F13" s="201">
        <f t="shared" si="0"/>
        <v>83448.62</v>
      </c>
      <c r="G13" s="128"/>
      <c r="H13" s="129" t="s">
        <v>1468</v>
      </c>
      <c r="I13" s="129"/>
    </row>
    <row r="14" spans="1:13" s="16" customFormat="1" x14ac:dyDescent="0.25">
      <c r="A14" s="203"/>
      <c r="B14" s="256"/>
      <c r="C14" s="201"/>
      <c r="D14" s="201"/>
      <c r="E14" s="201"/>
      <c r="F14" s="201"/>
      <c r="G14" s="128"/>
      <c r="H14" s="129"/>
      <c r="I14" s="129"/>
    </row>
    <row r="15" spans="1:13" x14ac:dyDescent="0.25">
      <c r="A15" s="179" t="s">
        <v>1323</v>
      </c>
      <c r="B15" s="186"/>
      <c r="C15" s="198">
        <v>96900</v>
      </c>
      <c r="D15" s="253">
        <v>42000</v>
      </c>
      <c r="E15" s="253">
        <v>60000</v>
      </c>
      <c r="F15" s="198">
        <v>142226</v>
      </c>
      <c r="H15" s="126" t="s">
        <v>1287</v>
      </c>
      <c r="I15" s="126" t="s">
        <v>1302</v>
      </c>
    </row>
    <row r="16" spans="1:13" s="16" customFormat="1" x14ac:dyDescent="0.25">
      <c r="A16" s="194" t="s">
        <v>1469</v>
      </c>
      <c r="B16" s="256" t="s">
        <v>1472</v>
      </c>
      <c r="C16" s="201">
        <f>C13-C15</f>
        <v>-78894</v>
      </c>
      <c r="D16" s="201">
        <f t="shared" ref="D16:F16" si="1">D13-D15</f>
        <v>-40587</v>
      </c>
      <c r="E16" s="201">
        <f t="shared" si="1"/>
        <v>17273</v>
      </c>
      <c r="F16" s="201">
        <f t="shared" si="1"/>
        <v>-58777.380000000005</v>
      </c>
      <c r="G16" s="128"/>
      <c r="H16" s="129"/>
      <c r="I16" s="129"/>
    </row>
    <row r="17" spans="1:9" s="16" customFormat="1" x14ac:dyDescent="0.25">
      <c r="A17" s="203"/>
      <c r="B17" s="256"/>
      <c r="C17" s="201"/>
      <c r="D17" s="201"/>
      <c r="E17" s="201"/>
      <c r="F17" s="201"/>
      <c r="G17" s="128"/>
      <c r="H17" s="129"/>
      <c r="I17" s="129"/>
    </row>
    <row r="18" spans="1:9" s="16" customFormat="1" x14ac:dyDescent="0.25">
      <c r="A18" s="203" t="s">
        <v>379</v>
      </c>
      <c r="B18" s="256"/>
      <c r="C18" s="181">
        <v>90000</v>
      </c>
      <c r="D18" s="181">
        <v>80000</v>
      </c>
      <c r="E18" s="181">
        <v>85000</v>
      </c>
      <c r="F18" s="181">
        <v>85549.023000000001</v>
      </c>
      <c r="G18" s="128"/>
      <c r="H18" s="129"/>
      <c r="I18" s="129" t="s">
        <v>1405</v>
      </c>
    </row>
    <row r="19" spans="1:9" s="16" customFormat="1" x14ac:dyDescent="0.25">
      <c r="A19" s="194" t="s">
        <v>1474</v>
      </c>
      <c r="B19" s="256" t="s">
        <v>1473</v>
      </c>
      <c r="C19" s="201">
        <f>C16-C18</f>
        <v>-168894</v>
      </c>
      <c r="D19" s="201">
        <f t="shared" ref="D19:F19" si="2">D16-D18</f>
        <v>-120587</v>
      </c>
      <c r="E19" s="201">
        <f t="shared" si="2"/>
        <v>-67727</v>
      </c>
      <c r="F19" s="201">
        <f t="shared" si="2"/>
        <v>-144326.40299999999</v>
      </c>
      <c r="G19" s="128"/>
      <c r="H19" s="129"/>
      <c r="I19" s="129"/>
    </row>
    <row r="20" spans="1:9" x14ac:dyDescent="0.25">
      <c r="A20" s="179"/>
      <c r="B20" s="179"/>
      <c r="C20" s="181"/>
      <c r="D20" s="180"/>
      <c r="E20" s="181"/>
      <c r="F20" s="179"/>
    </row>
    <row r="21" spans="1:9" x14ac:dyDescent="0.25">
      <c r="A21" s="203" t="s">
        <v>373</v>
      </c>
      <c r="B21" s="179"/>
      <c r="C21" s="181"/>
      <c r="D21" s="181"/>
      <c r="E21" s="181"/>
      <c r="F21" s="181"/>
    </row>
    <row r="22" spans="1:9" x14ac:dyDescent="0.25">
      <c r="A22" s="179" t="s">
        <v>270</v>
      </c>
      <c r="B22" s="179">
        <v>5310</v>
      </c>
      <c r="C22" s="181">
        <v>17000</v>
      </c>
      <c r="D22" s="181">
        <v>16000</v>
      </c>
      <c r="E22" s="181">
        <v>16000</v>
      </c>
      <c r="F22" s="181">
        <v>16484.87</v>
      </c>
    </row>
    <row r="23" spans="1:9" x14ac:dyDescent="0.25">
      <c r="A23" s="179" t="s">
        <v>374</v>
      </c>
      <c r="B23" s="179">
        <v>5293</v>
      </c>
      <c r="C23" s="181">
        <v>35000</v>
      </c>
      <c r="D23" s="181">
        <v>32000</v>
      </c>
      <c r="E23" s="181">
        <v>32000</v>
      </c>
      <c r="F23" s="201">
        <v>32049.34</v>
      </c>
    </row>
    <row r="24" spans="1:9" x14ac:dyDescent="0.25">
      <c r="A24" s="179" t="s">
        <v>272</v>
      </c>
      <c r="B24" s="179">
        <v>5919</v>
      </c>
      <c r="C24" s="181">
        <v>18000</v>
      </c>
      <c r="D24" s="181">
        <v>18000</v>
      </c>
      <c r="E24" s="181">
        <v>18000</v>
      </c>
      <c r="F24" s="181">
        <v>18007.169999999998</v>
      </c>
    </row>
    <row r="25" spans="1:9" x14ac:dyDescent="0.25">
      <c r="A25" s="179" t="s">
        <v>375</v>
      </c>
      <c r="B25" s="179"/>
      <c r="C25" s="181">
        <v>0</v>
      </c>
      <c r="D25" s="181">
        <v>0</v>
      </c>
      <c r="E25" s="181">
        <v>0</v>
      </c>
      <c r="F25" s="181">
        <v>0</v>
      </c>
    </row>
    <row r="26" spans="1:9" x14ac:dyDescent="0.25">
      <c r="A26" s="179" t="s">
        <v>376</v>
      </c>
      <c r="B26" s="179"/>
      <c r="C26" s="181">
        <v>0</v>
      </c>
      <c r="D26" s="181">
        <v>0</v>
      </c>
      <c r="E26" s="181">
        <v>0</v>
      </c>
      <c r="F26" s="181">
        <v>0</v>
      </c>
    </row>
    <row r="27" spans="1:9" x14ac:dyDescent="0.25">
      <c r="A27" s="179" t="s">
        <v>377</v>
      </c>
      <c r="B27" s="179">
        <v>5895</v>
      </c>
      <c r="C27" s="181">
        <v>16000</v>
      </c>
      <c r="D27" s="181">
        <v>10000</v>
      </c>
      <c r="E27" s="181">
        <v>15000</v>
      </c>
      <c r="F27" s="181">
        <v>14962.09</v>
      </c>
    </row>
    <row r="28" spans="1:9" x14ac:dyDescent="0.25">
      <c r="A28" s="179" t="s">
        <v>378</v>
      </c>
      <c r="B28" s="192">
        <v>5105</v>
      </c>
      <c r="C28" s="181">
        <v>4000</v>
      </c>
      <c r="D28" s="181">
        <v>4000</v>
      </c>
      <c r="E28" s="181">
        <v>4000</v>
      </c>
      <c r="F28" s="181">
        <v>4045.5529999999999</v>
      </c>
    </row>
    <row r="29" spans="1:9" s="16" customFormat="1" x14ac:dyDescent="0.25">
      <c r="A29" s="203" t="s">
        <v>379</v>
      </c>
      <c r="B29" s="203"/>
      <c r="C29" s="201">
        <v>90000</v>
      </c>
      <c r="D29" s="201">
        <v>80000</v>
      </c>
      <c r="E29" s="201">
        <v>85000</v>
      </c>
      <c r="F29" s="201">
        <v>85549.023000000001</v>
      </c>
      <c r="G29" s="128"/>
      <c r="H29" s="129"/>
      <c r="I29" s="129" t="s">
        <v>1405</v>
      </c>
    </row>
    <row r="30" spans="1:9" x14ac:dyDescent="0.25">
      <c r="A30" s="179"/>
      <c r="B30" s="179"/>
      <c r="C30" s="181"/>
      <c r="D30" s="180"/>
      <c r="E30" s="181"/>
      <c r="F30" s="179"/>
    </row>
    <row r="31" spans="1:9" x14ac:dyDescent="0.25">
      <c r="A31" s="206" t="s">
        <v>1415</v>
      </c>
      <c r="B31" s="207"/>
      <c r="C31" s="208">
        <v>-71994</v>
      </c>
      <c r="D31" s="208">
        <v>-78587</v>
      </c>
      <c r="E31" s="208">
        <v>-7727</v>
      </c>
      <c r="F31" s="208">
        <v>-2100.4030000000057</v>
      </c>
    </row>
    <row r="32" spans="1:9" x14ac:dyDescent="0.25">
      <c r="A32" s="179"/>
      <c r="B32" s="179"/>
      <c r="C32" s="181"/>
      <c r="D32" s="180"/>
      <c r="E32" s="181"/>
      <c r="F32" s="179"/>
    </row>
    <row r="33" spans="1:10" ht="18.75" x14ac:dyDescent="0.3">
      <c r="A33" s="240" t="s">
        <v>1301</v>
      </c>
      <c r="B33" s="179"/>
      <c r="C33" s="181"/>
      <c r="D33" s="180"/>
      <c r="E33" s="181"/>
      <c r="F33" s="179"/>
    </row>
    <row r="34" spans="1:10" x14ac:dyDescent="0.25">
      <c r="A34" s="179"/>
      <c r="B34" s="179"/>
      <c r="C34" s="181"/>
      <c r="D34" s="180"/>
      <c r="E34" s="181"/>
      <c r="F34" s="179"/>
    </row>
    <row r="35" spans="1:10" x14ac:dyDescent="0.25">
      <c r="A35" s="179" t="s">
        <v>1323</v>
      </c>
      <c r="B35" s="179"/>
      <c r="C35" s="191">
        <v>96900</v>
      </c>
      <c r="D35" s="252">
        <v>42000</v>
      </c>
      <c r="E35" s="252">
        <v>60000</v>
      </c>
      <c r="F35" s="191">
        <v>142226</v>
      </c>
      <c r="H35" s="126" t="s">
        <v>1287</v>
      </c>
      <c r="I35" s="126" t="s">
        <v>1302</v>
      </c>
    </row>
    <row r="36" spans="1:10" x14ac:dyDescent="0.25">
      <c r="A36" s="179" t="s">
        <v>381</v>
      </c>
      <c r="B36" s="179"/>
      <c r="C36" s="181"/>
      <c r="D36" s="199"/>
      <c r="E36" s="181"/>
      <c r="F36" s="191">
        <v>0</v>
      </c>
    </row>
    <row r="37" spans="1:10" s="16" customFormat="1" x14ac:dyDescent="0.25">
      <c r="A37" s="194" t="s">
        <v>1279</v>
      </c>
      <c r="B37" s="203"/>
      <c r="C37" s="191">
        <v>96900</v>
      </c>
      <c r="D37" s="191">
        <v>-18550</v>
      </c>
      <c r="E37" s="191">
        <v>0</v>
      </c>
      <c r="F37" s="191">
        <v>142226</v>
      </c>
      <c r="G37" s="128"/>
      <c r="H37" s="129"/>
      <c r="I37" s="129"/>
    </row>
    <row r="38" spans="1:10" x14ac:dyDescent="0.25">
      <c r="A38" s="179"/>
      <c r="B38" s="179"/>
      <c r="C38" s="191"/>
      <c r="D38" s="191"/>
      <c r="E38" s="191"/>
      <c r="F38" s="191"/>
    </row>
    <row r="39" spans="1:10" x14ac:dyDescent="0.25">
      <c r="A39" s="206" t="s">
        <v>380</v>
      </c>
      <c r="B39" s="207"/>
      <c r="C39" s="208">
        <v>-168894</v>
      </c>
      <c r="D39" s="208">
        <v>-60037</v>
      </c>
      <c r="E39" s="208">
        <v>-7727</v>
      </c>
      <c r="F39" s="208">
        <v>-144326.40299999999</v>
      </c>
    </row>
    <row r="40" spans="1:10" x14ac:dyDescent="0.25">
      <c r="A40" s="179"/>
      <c r="B40" s="179"/>
      <c r="C40" s="181"/>
      <c r="D40" s="181"/>
      <c r="E40" s="181"/>
      <c r="F40" s="181"/>
    </row>
    <row r="41" spans="1:10" x14ac:dyDescent="0.25">
      <c r="A41" s="179"/>
      <c r="B41" s="179"/>
      <c r="C41" s="181"/>
      <c r="D41" s="181"/>
      <c r="E41" s="181"/>
      <c r="F41" s="181"/>
      <c r="I41" s="126" t="s">
        <v>1406</v>
      </c>
      <c r="J41">
        <v>0</v>
      </c>
    </row>
    <row r="42" spans="1:10" s="16" customFormat="1" x14ac:dyDescent="0.25">
      <c r="A42" s="203"/>
      <c r="B42" s="203"/>
      <c r="C42" s="201"/>
      <c r="D42" s="201"/>
      <c r="E42" s="201"/>
      <c r="F42" s="201"/>
      <c r="G42" s="128"/>
      <c r="H42" s="129"/>
      <c r="I42" s="129" t="s">
        <v>1407</v>
      </c>
      <c r="J42" s="16">
        <v>32049.34</v>
      </c>
    </row>
    <row r="43" spans="1:10" x14ac:dyDescent="0.25">
      <c r="A43" s="179"/>
      <c r="B43" s="179"/>
      <c r="C43" s="181"/>
      <c r="D43" s="181"/>
      <c r="E43" s="181"/>
      <c r="F43" s="181"/>
      <c r="I43" s="126" t="s">
        <v>1408</v>
      </c>
      <c r="J43">
        <v>16484.87</v>
      </c>
    </row>
    <row r="44" spans="1:10" x14ac:dyDescent="0.25">
      <c r="A44" s="179" t="s">
        <v>395</v>
      </c>
      <c r="B44" s="179"/>
      <c r="C44" s="181"/>
      <c r="D44" s="209"/>
      <c r="E44" s="181"/>
      <c r="F44" s="187">
        <v>2635</v>
      </c>
      <c r="I44" s="126" t="s">
        <v>1409</v>
      </c>
      <c r="J44">
        <v>14962.09</v>
      </c>
    </row>
    <row r="45" spans="1:10" x14ac:dyDescent="0.25">
      <c r="A45" s="179" t="s">
        <v>392</v>
      </c>
      <c r="B45" s="179">
        <v>4025</v>
      </c>
      <c r="C45" s="181"/>
      <c r="D45" s="181"/>
      <c r="E45" s="181"/>
      <c r="F45" s="187">
        <v>63630</v>
      </c>
      <c r="I45" s="126" t="s">
        <v>1410</v>
      </c>
      <c r="J45">
        <v>18007.169999999998</v>
      </c>
    </row>
    <row r="46" spans="1:10" x14ac:dyDescent="0.25">
      <c r="A46" s="179" t="s">
        <v>391</v>
      </c>
      <c r="B46" s="192">
        <v>4600</v>
      </c>
      <c r="C46" s="181"/>
      <c r="D46" s="181"/>
      <c r="E46" s="181"/>
      <c r="F46" s="187">
        <v>22777</v>
      </c>
    </row>
    <row r="47" spans="1:10" x14ac:dyDescent="0.25">
      <c r="A47" s="179" t="s">
        <v>387</v>
      </c>
      <c r="B47" s="179">
        <v>4300</v>
      </c>
      <c r="C47" s="181"/>
      <c r="D47" s="181"/>
      <c r="E47" s="181"/>
      <c r="F47" s="187">
        <v>47990</v>
      </c>
    </row>
    <row r="48" spans="1:10" x14ac:dyDescent="0.25">
      <c r="A48" s="179" t="s">
        <v>388</v>
      </c>
      <c r="B48" s="179">
        <v>4300</v>
      </c>
      <c r="C48" s="181"/>
      <c r="D48" s="181">
        <v>18550</v>
      </c>
      <c r="E48" s="181"/>
      <c r="F48" s="187">
        <v>59500</v>
      </c>
      <c r="H48" s="126" t="s">
        <v>1358</v>
      </c>
      <c r="I48" s="126" t="s">
        <v>266</v>
      </c>
      <c r="J48">
        <v>4045.5529999999999</v>
      </c>
    </row>
    <row r="49" spans="1:13" x14ac:dyDescent="0.25">
      <c r="A49" s="179" t="s">
        <v>401</v>
      </c>
      <c r="B49" s="179">
        <v>4245</v>
      </c>
      <c r="C49" s="181"/>
      <c r="D49" s="181"/>
      <c r="E49" s="181"/>
      <c r="F49" s="187">
        <v>11460</v>
      </c>
      <c r="I49" s="126" t="s">
        <v>1411</v>
      </c>
    </row>
    <row r="50" spans="1:13" x14ac:dyDescent="0.25">
      <c r="A50" s="179" t="s">
        <v>1283</v>
      </c>
      <c r="B50" s="179"/>
      <c r="C50" s="181"/>
      <c r="D50" s="181"/>
      <c r="E50" s="181"/>
      <c r="F50" s="187">
        <v>0</v>
      </c>
      <c r="J50">
        <v>85549.023000000001</v>
      </c>
    </row>
    <row r="51" spans="1:13" x14ac:dyDescent="0.25">
      <c r="A51" s="194" t="s">
        <v>1285</v>
      </c>
      <c r="B51" s="203"/>
      <c r="C51" s="195">
        <v>0</v>
      </c>
      <c r="D51" s="195">
        <v>18550</v>
      </c>
      <c r="E51" s="195">
        <v>0</v>
      </c>
      <c r="F51" s="195">
        <v>207992</v>
      </c>
    </row>
    <row r="52" spans="1:13" x14ac:dyDescent="0.25">
      <c r="A52" s="179"/>
      <c r="B52" s="179"/>
      <c r="C52" s="181"/>
      <c r="D52" s="181"/>
      <c r="E52" s="181"/>
      <c r="F52" s="181"/>
    </row>
    <row r="53" spans="1:13" x14ac:dyDescent="0.25">
      <c r="A53" s="179" t="s">
        <v>1282</v>
      </c>
      <c r="B53" s="179"/>
      <c r="C53" s="181"/>
      <c r="D53" s="181"/>
      <c r="E53" s="181"/>
      <c r="F53" s="181">
        <v>323870</v>
      </c>
      <c r="I53" s="126">
        <v>8525</v>
      </c>
    </row>
    <row r="54" spans="1:13" x14ac:dyDescent="0.25">
      <c r="A54" s="179" t="s">
        <v>1281</v>
      </c>
      <c r="B54" s="179"/>
      <c r="C54" s="181"/>
      <c r="D54" s="181"/>
      <c r="E54" s="181"/>
      <c r="F54" s="181">
        <v>26348</v>
      </c>
      <c r="H54" s="4"/>
      <c r="I54" s="126">
        <v>60863</v>
      </c>
    </row>
    <row r="55" spans="1:13" x14ac:dyDescent="0.25">
      <c r="A55" s="200" t="s">
        <v>1284</v>
      </c>
      <c r="B55" s="179"/>
      <c r="C55" s="181"/>
      <c r="D55" s="181"/>
      <c r="E55" s="181"/>
      <c r="F55" s="181">
        <v>350218</v>
      </c>
      <c r="H55" s="4"/>
      <c r="I55" s="126">
        <v>4882</v>
      </c>
    </row>
    <row r="56" spans="1:13" x14ac:dyDescent="0.25">
      <c r="A56" s="179"/>
      <c r="B56" s="179"/>
      <c r="C56" s="181"/>
      <c r="D56" s="181"/>
      <c r="E56" s="181"/>
      <c r="F56" s="181"/>
      <c r="H56" s="4"/>
      <c r="I56" s="126">
        <v>249600</v>
      </c>
    </row>
    <row r="57" spans="1:13" s="16" customFormat="1" x14ac:dyDescent="0.25">
      <c r="A57" s="203" t="s">
        <v>1286</v>
      </c>
      <c r="B57" s="203"/>
      <c r="C57" s="201">
        <v>0</v>
      </c>
      <c r="D57" s="201">
        <v>-18550</v>
      </c>
      <c r="E57" s="201">
        <v>0</v>
      </c>
      <c r="F57" s="201">
        <v>142226</v>
      </c>
      <c r="G57" s="128"/>
      <c r="H57" s="97"/>
      <c r="I57" s="129">
        <v>323870</v>
      </c>
    </row>
    <row r="58" spans="1:13" x14ac:dyDescent="0.25">
      <c r="A58" s="179"/>
      <c r="B58" s="179"/>
      <c r="C58" s="181"/>
      <c r="D58" s="181"/>
      <c r="E58" s="181"/>
      <c r="F58" s="181"/>
      <c r="H58" s="4"/>
    </row>
    <row r="59" spans="1:13" x14ac:dyDescent="0.25">
      <c r="A59" s="179"/>
      <c r="B59" s="179"/>
      <c r="C59" s="181"/>
      <c r="D59" s="181"/>
      <c r="E59" s="181"/>
      <c r="F59" s="181"/>
      <c r="H59" s="4"/>
    </row>
    <row r="60" spans="1:13" x14ac:dyDescent="0.25">
      <c r="A60" s="179"/>
      <c r="B60" s="179"/>
      <c r="C60" s="181"/>
      <c r="D60" s="181"/>
      <c r="E60" s="181"/>
      <c r="F60" s="181"/>
      <c r="H60" s="4"/>
    </row>
    <row r="61" spans="1:13" x14ac:dyDescent="0.25">
      <c r="A61" s="179"/>
      <c r="B61" s="179"/>
      <c r="C61" s="181"/>
      <c r="D61" s="181"/>
      <c r="E61" s="181"/>
      <c r="F61" s="181"/>
      <c r="H61" s="4"/>
    </row>
    <row r="62" spans="1:13" x14ac:dyDescent="0.25">
      <c r="A62" s="179" t="s">
        <v>1516</v>
      </c>
      <c r="B62" s="179"/>
      <c r="C62" s="181"/>
      <c r="D62" s="181"/>
      <c r="E62" s="181"/>
      <c r="F62" s="181"/>
      <c r="H62" s="4"/>
    </row>
    <row r="63" spans="1:13" x14ac:dyDescent="0.25">
      <c r="A63" s="179"/>
      <c r="B63" s="179"/>
      <c r="C63" s="185" t="s">
        <v>16</v>
      </c>
      <c r="D63" s="183" t="s">
        <v>16</v>
      </c>
      <c r="E63" s="184" t="s">
        <v>120</v>
      </c>
      <c r="F63" s="182" t="s">
        <v>114</v>
      </c>
      <c r="I63" s="160" t="s">
        <v>1327</v>
      </c>
      <c r="J63" s="161">
        <v>172246</v>
      </c>
      <c r="K63" s="4">
        <v>183800</v>
      </c>
      <c r="L63" s="4">
        <v>0</v>
      </c>
      <c r="M63" s="4">
        <v>0</v>
      </c>
    </row>
    <row r="64" spans="1:13" x14ac:dyDescent="0.25">
      <c r="A64" s="179"/>
      <c r="B64" s="179"/>
      <c r="C64" s="185" t="s">
        <v>121</v>
      </c>
      <c r="D64" s="183" t="s">
        <v>17</v>
      </c>
      <c r="E64" s="185" t="s">
        <v>17</v>
      </c>
      <c r="F64" s="182" t="s">
        <v>19</v>
      </c>
      <c r="I64" s="160"/>
      <c r="J64" s="161">
        <v>-172246</v>
      </c>
      <c r="K64" s="161">
        <v>-183800</v>
      </c>
      <c r="L64" s="161">
        <v>0</v>
      </c>
      <c r="M64" s="161">
        <v>0</v>
      </c>
    </row>
    <row r="65" spans="1:14" x14ac:dyDescent="0.25">
      <c r="A65" s="179" t="s">
        <v>1376</v>
      </c>
      <c r="B65" s="179" t="s">
        <v>369</v>
      </c>
      <c r="C65" s="181">
        <v>139800</v>
      </c>
      <c r="D65" s="181">
        <v>169300</v>
      </c>
      <c r="E65" s="181">
        <v>117250</v>
      </c>
      <c r="F65" s="187">
        <v>104165</v>
      </c>
      <c r="G65" s="125"/>
      <c r="H65" s="126">
        <v>5305</v>
      </c>
      <c r="I65" s="126">
        <v>5309</v>
      </c>
      <c r="J65">
        <v>5314</v>
      </c>
      <c r="K65">
        <v>5319</v>
      </c>
      <c r="L65">
        <v>5396</v>
      </c>
      <c r="N65" t="s">
        <v>1374</v>
      </c>
    </row>
    <row r="66" spans="1:14" x14ac:dyDescent="0.25">
      <c r="A66" s="190" t="s">
        <v>1377</v>
      </c>
      <c r="B66" s="179"/>
      <c r="C66" s="181">
        <v>7500</v>
      </c>
      <c r="D66" s="181">
        <v>7000</v>
      </c>
      <c r="E66" s="181">
        <v>7000</v>
      </c>
      <c r="F66" s="187">
        <v>7000</v>
      </c>
    </row>
    <row r="67" spans="1:14" x14ac:dyDescent="0.25">
      <c r="A67" s="179" t="s">
        <v>1378</v>
      </c>
      <c r="B67" s="179" t="s">
        <v>369</v>
      </c>
      <c r="C67" s="181">
        <v>70000</v>
      </c>
      <c r="D67" s="181">
        <v>54300</v>
      </c>
      <c r="E67" s="181">
        <v>81774</v>
      </c>
      <c r="F67" s="187">
        <v>98066</v>
      </c>
      <c r="H67" s="126">
        <v>5803</v>
      </c>
      <c r="I67" s="126">
        <v>5827</v>
      </c>
      <c r="J67">
        <v>5830</v>
      </c>
    </row>
    <row r="68" spans="1:14" x14ac:dyDescent="0.25">
      <c r="A68" s="179" t="s">
        <v>112</v>
      </c>
      <c r="B68" s="192" t="s">
        <v>369</v>
      </c>
      <c r="C68" s="181">
        <v>72000</v>
      </c>
      <c r="D68" s="187">
        <v>64300</v>
      </c>
      <c r="E68" s="181">
        <v>47644</v>
      </c>
      <c r="F68" s="187">
        <v>71422</v>
      </c>
    </row>
    <row r="69" spans="1:14" x14ac:dyDescent="0.25">
      <c r="A69" s="179" t="s">
        <v>1396</v>
      </c>
      <c r="B69" s="192"/>
      <c r="C69" s="181">
        <v>2400</v>
      </c>
      <c r="D69" s="187">
        <v>0</v>
      </c>
      <c r="E69" s="181">
        <v>2200</v>
      </c>
      <c r="F69" s="187">
        <v>0</v>
      </c>
    </row>
    <row r="70" spans="1:14" x14ac:dyDescent="0.25">
      <c r="A70" s="179" t="s">
        <v>1397</v>
      </c>
      <c r="B70" s="192"/>
      <c r="C70" s="181">
        <v>1800</v>
      </c>
      <c r="D70" s="187">
        <v>0</v>
      </c>
      <c r="E70" s="181">
        <v>1800</v>
      </c>
      <c r="F70" s="187">
        <v>0</v>
      </c>
    </row>
    <row r="71" spans="1:14" x14ac:dyDescent="0.25">
      <c r="A71" s="179"/>
      <c r="B71" s="179"/>
      <c r="C71" s="181">
        <v>293500</v>
      </c>
      <c r="D71" s="181">
        <v>294900</v>
      </c>
      <c r="E71" s="181">
        <v>257668</v>
      </c>
      <c r="F71" s="181">
        <v>280653</v>
      </c>
      <c r="H71" s="4"/>
    </row>
    <row r="72" spans="1:14" x14ac:dyDescent="0.25">
      <c r="A72" s="179" t="s">
        <v>1379</v>
      </c>
      <c r="B72" s="179"/>
      <c r="C72" s="181">
        <v>10000</v>
      </c>
      <c r="D72" s="181">
        <v>0</v>
      </c>
      <c r="E72" s="181">
        <v>20000</v>
      </c>
      <c r="F72" s="181">
        <v>42000</v>
      </c>
      <c r="H72" s="4"/>
    </row>
    <row r="73" spans="1:14" x14ac:dyDescent="0.25">
      <c r="A73" s="194" t="s">
        <v>1380</v>
      </c>
      <c r="B73" s="203"/>
      <c r="C73" s="201">
        <v>303500</v>
      </c>
      <c r="D73" s="201">
        <v>294900</v>
      </c>
      <c r="E73" s="201">
        <v>277668</v>
      </c>
      <c r="F73" s="201">
        <v>322653</v>
      </c>
      <c r="H73" s="4"/>
    </row>
    <row r="74" spans="1:14" x14ac:dyDescent="0.25">
      <c r="A74" s="200" t="s">
        <v>1381</v>
      </c>
      <c r="B74" s="179"/>
      <c r="C74" s="181"/>
      <c r="D74" s="181"/>
      <c r="E74" s="181"/>
      <c r="F74" s="181"/>
      <c r="H74" s="4"/>
    </row>
    <row r="75" spans="1:14" x14ac:dyDescent="0.25">
      <c r="A75" s="179" t="s">
        <v>9</v>
      </c>
      <c r="B75" s="179">
        <v>4030</v>
      </c>
      <c r="C75" s="181">
        <v>0</v>
      </c>
      <c r="D75" s="181">
        <v>7000</v>
      </c>
      <c r="E75" s="181">
        <v>26800</v>
      </c>
      <c r="F75" s="187">
        <v>43766</v>
      </c>
      <c r="H75" s="126">
        <v>4030</v>
      </c>
      <c r="I75" s="126">
        <v>4050</v>
      </c>
      <c r="J75" s="4"/>
      <c r="K75" s="176">
        <v>13831.83</v>
      </c>
      <c r="L75" t="s">
        <v>1354</v>
      </c>
    </row>
    <row r="76" spans="1:14" x14ac:dyDescent="0.25">
      <c r="A76" s="179" t="s">
        <v>1398</v>
      </c>
      <c r="B76" s="192">
        <v>4190</v>
      </c>
      <c r="C76" s="181">
        <v>4000</v>
      </c>
      <c r="D76" s="181">
        <v>14200</v>
      </c>
      <c r="E76" s="181">
        <v>8000</v>
      </c>
      <c r="F76" s="187">
        <v>13187</v>
      </c>
      <c r="H76" s="126" t="s">
        <v>399</v>
      </c>
    </row>
    <row r="77" spans="1:14" x14ac:dyDescent="0.25">
      <c r="A77" s="179" t="s">
        <v>1395</v>
      </c>
      <c r="B77" s="179"/>
      <c r="C77" s="181">
        <v>5000</v>
      </c>
      <c r="D77" s="181">
        <v>5000</v>
      </c>
      <c r="E77" s="181">
        <v>5000</v>
      </c>
      <c r="F77" s="181">
        <v>5000</v>
      </c>
      <c r="H77" s="4"/>
    </row>
    <row r="78" spans="1:14" x14ac:dyDescent="0.25">
      <c r="A78" s="179"/>
      <c r="B78" s="179"/>
      <c r="C78" s="181">
        <v>9000</v>
      </c>
      <c r="D78" s="181">
        <v>26200</v>
      </c>
      <c r="E78" s="181">
        <v>39800</v>
      </c>
      <c r="F78" s="181">
        <v>61953</v>
      </c>
      <c r="H78" s="4"/>
    </row>
    <row r="79" spans="1:14" x14ac:dyDescent="0.25">
      <c r="A79" s="179"/>
      <c r="B79" s="179"/>
      <c r="C79" s="181"/>
      <c r="D79" s="181"/>
      <c r="E79" s="181"/>
      <c r="F79" s="181"/>
      <c r="H79" s="4"/>
    </row>
    <row r="80" spans="1:14" x14ac:dyDescent="0.25">
      <c r="A80" s="200" t="s">
        <v>1382</v>
      </c>
      <c r="B80" s="179"/>
      <c r="C80" s="201">
        <v>294500</v>
      </c>
      <c r="D80" s="201">
        <v>268700</v>
      </c>
      <c r="E80" s="201">
        <v>237868</v>
      </c>
      <c r="F80" s="201">
        <v>260700</v>
      </c>
      <c r="H80" s="4"/>
    </row>
    <row r="81" spans="1:8" x14ac:dyDescent="0.25">
      <c r="A81" s="179"/>
      <c r="B81" s="179"/>
      <c r="C81" s="181"/>
      <c r="D81" s="181"/>
      <c r="E81" s="181"/>
      <c r="F81" s="181"/>
      <c r="H81" s="4"/>
    </row>
    <row r="82" spans="1:8" x14ac:dyDescent="0.25">
      <c r="D82" s="4"/>
      <c r="F82" s="4"/>
      <c r="H82" s="4"/>
    </row>
    <row r="83" spans="1:8" x14ac:dyDescent="0.25">
      <c r="D83" s="4"/>
      <c r="F83" s="4"/>
      <c r="H83" s="4"/>
    </row>
    <row r="84" spans="1:8" x14ac:dyDescent="0.25">
      <c r="D84" s="4"/>
      <c r="F84" s="4"/>
      <c r="H84" s="4"/>
    </row>
    <row r="85" spans="1:8" x14ac:dyDescent="0.25">
      <c r="D85" s="4"/>
      <c r="F85" s="4"/>
      <c r="H85" s="4"/>
    </row>
    <row r="86" spans="1:8" x14ac:dyDescent="0.25">
      <c r="D86" s="4"/>
      <c r="F86" s="4"/>
      <c r="H86" s="4"/>
    </row>
    <row r="87" spans="1:8" x14ac:dyDescent="0.25">
      <c r="D87" s="4"/>
      <c r="F87" s="4"/>
      <c r="H87" s="4"/>
    </row>
    <row r="88" spans="1:8" x14ac:dyDescent="0.25">
      <c r="D88" s="4"/>
      <c r="F88" s="4"/>
      <c r="H88" s="4"/>
    </row>
    <row r="89" spans="1:8" x14ac:dyDescent="0.25">
      <c r="D89" s="4"/>
      <c r="F89" s="4"/>
      <c r="H89" s="4"/>
    </row>
    <row r="90" spans="1:8" x14ac:dyDescent="0.25">
      <c r="D90" s="4"/>
      <c r="F90" s="4"/>
      <c r="H90" s="4"/>
    </row>
    <row r="91" spans="1:8" x14ac:dyDescent="0.25">
      <c r="D91" s="4"/>
      <c r="F91" s="4"/>
      <c r="H91" s="4"/>
    </row>
    <row r="92" spans="1:8" x14ac:dyDescent="0.25">
      <c r="D92" s="4"/>
      <c r="F92" s="4"/>
      <c r="H92" s="4"/>
    </row>
    <row r="93" spans="1:8" x14ac:dyDescent="0.25">
      <c r="D93" s="4"/>
      <c r="F93" s="4"/>
      <c r="H93" s="4"/>
    </row>
    <row r="94" spans="1:8" x14ac:dyDescent="0.25">
      <c r="D94" s="4"/>
      <c r="F94" s="4"/>
      <c r="H94" s="4"/>
    </row>
    <row r="95" spans="1:8" x14ac:dyDescent="0.25">
      <c r="D95" s="4"/>
      <c r="F95" s="4"/>
      <c r="H95" s="4"/>
    </row>
    <row r="96" spans="1:8" x14ac:dyDescent="0.25">
      <c r="D96" s="4"/>
      <c r="F96" s="4"/>
      <c r="H96" s="4"/>
    </row>
    <row r="97" spans="4:8" x14ac:dyDescent="0.25">
      <c r="D97" s="4"/>
      <c r="F97" s="4"/>
      <c r="H97" s="4"/>
    </row>
    <row r="98" spans="4:8" x14ac:dyDescent="0.25">
      <c r="D98" s="4"/>
      <c r="F98" s="4"/>
      <c r="H98" s="4"/>
    </row>
    <row r="99" spans="4:8" x14ac:dyDescent="0.25">
      <c r="D99" s="4"/>
      <c r="F99" s="4"/>
      <c r="H99" s="4"/>
    </row>
    <row r="100" spans="4:8" x14ac:dyDescent="0.25">
      <c r="D100" s="4"/>
      <c r="F100" s="4"/>
      <c r="H100" s="4"/>
    </row>
    <row r="101" spans="4:8" x14ac:dyDescent="0.25">
      <c r="D101" s="4"/>
      <c r="F101" s="4"/>
      <c r="H101" s="4"/>
    </row>
    <row r="102" spans="4:8" x14ac:dyDescent="0.25">
      <c r="D102" s="4"/>
      <c r="F102" s="4"/>
      <c r="H102" s="4"/>
    </row>
    <row r="103" spans="4:8" x14ac:dyDescent="0.25">
      <c r="D103" s="4"/>
      <c r="F103" s="4"/>
      <c r="H103" s="4"/>
    </row>
    <row r="104" spans="4:8" x14ac:dyDescent="0.25">
      <c r="D104" s="4"/>
      <c r="F104" s="4"/>
      <c r="H104" s="4"/>
    </row>
    <row r="105" spans="4:8" x14ac:dyDescent="0.25">
      <c r="D105" s="4"/>
      <c r="F105" s="4"/>
      <c r="H105" s="4"/>
    </row>
    <row r="106" spans="4:8" x14ac:dyDescent="0.25">
      <c r="D106" s="4"/>
      <c r="F106" s="4"/>
      <c r="H106" s="4"/>
    </row>
    <row r="107" spans="4:8" x14ac:dyDescent="0.25">
      <c r="D107" s="4"/>
      <c r="F107" s="4"/>
      <c r="H107" s="4"/>
    </row>
    <row r="108" spans="4:8" x14ac:dyDescent="0.25">
      <c r="D108" s="4"/>
      <c r="F108" s="4"/>
      <c r="H108" s="4"/>
    </row>
    <row r="109" spans="4:8" x14ac:dyDescent="0.25">
      <c r="D109" s="4"/>
      <c r="F109" s="4"/>
      <c r="H109" s="4"/>
    </row>
    <row r="110" spans="4:8" x14ac:dyDescent="0.25">
      <c r="D110" s="4"/>
      <c r="F110" s="4"/>
      <c r="H110" s="4"/>
    </row>
    <row r="111" spans="4:8" x14ac:dyDescent="0.25">
      <c r="D111" s="4"/>
      <c r="F111" s="4"/>
      <c r="H111" s="4"/>
    </row>
    <row r="112" spans="4:8" x14ac:dyDescent="0.25">
      <c r="D112" s="4"/>
      <c r="F112" s="4"/>
      <c r="H112" s="4"/>
    </row>
    <row r="113" spans="4:8" x14ac:dyDescent="0.25">
      <c r="D113" s="4"/>
      <c r="F113" s="4"/>
      <c r="H113" s="4"/>
    </row>
    <row r="114" spans="4:8" x14ac:dyDescent="0.25">
      <c r="D114" s="4"/>
      <c r="F114" s="4"/>
      <c r="H114" s="4"/>
    </row>
    <row r="115" spans="4:8" x14ac:dyDescent="0.25">
      <c r="D115" s="4"/>
      <c r="F115" s="4"/>
      <c r="H115" s="4"/>
    </row>
    <row r="116" spans="4:8" x14ac:dyDescent="0.25">
      <c r="D116" s="4"/>
      <c r="F116" s="4"/>
      <c r="H116" s="4"/>
    </row>
    <row r="117" spans="4:8" x14ac:dyDescent="0.25">
      <c r="D117" s="4"/>
      <c r="F117" s="4"/>
      <c r="H117" s="4"/>
    </row>
    <row r="118" spans="4:8" x14ac:dyDescent="0.25">
      <c r="D118" s="4"/>
      <c r="F118" s="4"/>
      <c r="H118" s="4"/>
    </row>
    <row r="119" spans="4:8" x14ac:dyDescent="0.25">
      <c r="D119" s="4"/>
      <c r="F119" s="4"/>
      <c r="H119" s="4"/>
    </row>
    <row r="120" spans="4:8" x14ac:dyDescent="0.25">
      <c r="D120" s="4"/>
      <c r="F120" s="4"/>
      <c r="H120" s="4"/>
    </row>
    <row r="121" spans="4:8" x14ac:dyDescent="0.25">
      <c r="D121" s="4"/>
      <c r="F121" s="4"/>
      <c r="H121" s="4"/>
    </row>
    <row r="122" spans="4:8" x14ac:dyDescent="0.25">
      <c r="D122" s="4"/>
      <c r="F122" s="4"/>
      <c r="H122" s="4"/>
    </row>
    <row r="123" spans="4:8" x14ac:dyDescent="0.25">
      <c r="D123" s="4"/>
      <c r="F123" s="4"/>
      <c r="H123" s="4"/>
    </row>
    <row r="124" spans="4:8" x14ac:dyDescent="0.25">
      <c r="D124" s="4"/>
      <c r="F124" s="4"/>
      <c r="H124" s="4"/>
    </row>
    <row r="125" spans="4:8" x14ac:dyDescent="0.25">
      <c r="D125" s="4"/>
      <c r="F125" s="4"/>
      <c r="H125" s="4"/>
    </row>
    <row r="126" spans="4:8" x14ac:dyDescent="0.25">
      <c r="D126" s="4"/>
      <c r="F126" s="4"/>
      <c r="H126" s="4"/>
    </row>
    <row r="127" spans="4:8" x14ac:dyDescent="0.25">
      <c r="D127" s="4"/>
      <c r="F127" s="4"/>
      <c r="H127" s="4"/>
    </row>
    <row r="128" spans="4:8" x14ac:dyDescent="0.25">
      <c r="D128" s="4"/>
      <c r="F128" s="4"/>
      <c r="H128" s="4"/>
    </row>
    <row r="129" spans="4:8" x14ac:dyDescent="0.25">
      <c r="D129" s="4"/>
      <c r="F129" s="4"/>
      <c r="H129" s="4"/>
    </row>
    <row r="130" spans="4:8" x14ac:dyDescent="0.25">
      <c r="D130" s="4"/>
      <c r="F130" s="4"/>
      <c r="H130" s="4"/>
    </row>
    <row r="131" spans="4:8" x14ac:dyDescent="0.25">
      <c r="D131" s="4"/>
      <c r="F131" s="4"/>
      <c r="H131" s="4"/>
    </row>
    <row r="132" spans="4:8" x14ac:dyDescent="0.25">
      <c r="D132" s="4"/>
      <c r="F132" s="4"/>
      <c r="H132" s="4"/>
    </row>
    <row r="133" spans="4:8" x14ac:dyDescent="0.25">
      <c r="D133" s="4"/>
      <c r="F133" s="4"/>
      <c r="H133" s="4"/>
    </row>
    <row r="134" spans="4:8" x14ac:dyDescent="0.25">
      <c r="D134" s="4"/>
      <c r="F134" s="4"/>
      <c r="H134" s="4"/>
    </row>
    <row r="135" spans="4:8" x14ac:dyDescent="0.25">
      <c r="D135" s="4"/>
      <c r="F135" s="4"/>
      <c r="H135" s="4"/>
    </row>
    <row r="136" spans="4:8" x14ac:dyDescent="0.25">
      <c r="D136" s="4"/>
      <c r="F136" s="4"/>
      <c r="H136" s="4"/>
    </row>
    <row r="137" spans="4:8" x14ac:dyDescent="0.25">
      <c r="D137" s="4"/>
      <c r="F137" s="4"/>
      <c r="H137" s="4"/>
    </row>
    <row r="138" spans="4:8" x14ac:dyDescent="0.25">
      <c r="D138" s="4"/>
      <c r="F138" s="4"/>
      <c r="H138" s="4"/>
    </row>
    <row r="139" spans="4:8" x14ac:dyDescent="0.25">
      <c r="D139" s="4"/>
      <c r="F139" s="4"/>
      <c r="H139" s="4"/>
    </row>
    <row r="140" spans="4:8" x14ac:dyDescent="0.25">
      <c r="D140" s="4"/>
      <c r="F140" s="4"/>
      <c r="H140" s="4"/>
    </row>
    <row r="141" spans="4:8" x14ac:dyDescent="0.25">
      <c r="D141" s="4"/>
      <c r="F141" s="4"/>
      <c r="H141" s="4"/>
    </row>
    <row r="142" spans="4:8" x14ac:dyDescent="0.25">
      <c r="D142" s="4"/>
      <c r="F142" s="4"/>
      <c r="H142" s="4"/>
    </row>
    <row r="143" spans="4:8" x14ac:dyDescent="0.25">
      <c r="D143" s="4"/>
      <c r="F143" s="4"/>
      <c r="H143" s="4"/>
    </row>
    <row r="144" spans="4:8" x14ac:dyDescent="0.25">
      <c r="D144" s="4"/>
      <c r="F144" s="4"/>
      <c r="H144" s="4"/>
    </row>
    <row r="145" spans="4:8" x14ac:dyDescent="0.25">
      <c r="D145" s="4"/>
      <c r="F145" s="4"/>
      <c r="H145" s="4"/>
    </row>
    <row r="146" spans="4:8" x14ac:dyDescent="0.25">
      <c r="D146" s="4"/>
      <c r="F146" s="4"/>
      <c r="H146" s="4"/>
    </row>
    <row r="147" spans="4:8" x14ac:dyDescent="0.25">
      <c r="D147" s="4"/>
      <c r="F147" s="4"/>
      <c r="H147" s="4"/>
    </row>
    <row r="148" spans="4:8" x14ac:dyDescent="0.25">
      <c r="D148" s="4"/>
      <c r="F148" s="4"/>
      <c r="H148" s="4"/>
    </row>
    <row r="149" spans="4:8" x14ac:dyDescent="0.25">
      <c r="D149" s="4"/>
      <c r="F149" s="4"/>
      <c r="H149" s="4"/>
    </row>
    <row r="150" spans="4:8" x14ac:dyDescent="0.25">
      <c r="D150" s="4"/>
      <c r="F150" s="4"/>
      <c r="H150" s="4"/>
    </row>
    <row r="151" spans="4:8" x14ac:dyDescent="0.25">
      <c r="D151" s="4"/>
      <c r="F151" s="4"/>
      <c r="H151" s="4"/>
    </row>
    <row r="152" spans="4:8" x14ac:dyDescent="0.25">
      <c r="D152" s="4"/>
      <c r="F152" s="4"/>
      <c r="H152" s="4"/>
    </row>
    <row r="153" spans="4:8" x14ac:dyDescent="0.25">
      <c r="D153" s="4"/>
      <c r="F153" s="4"/>
      <c r="H153" s="4"/>
    </row>
    <row r="154" spans="4:8" x14ac:dyDescent="0.25">
      <c r="D154" s="4"/>
      <c r="F154" s="4"/>
      <c r="H154" s="4"/>
    </row>
    <row r="155" spans="4:8" x14ac:dyDescent="0.25">
      <c r="D155" s="4"/>
      <c r="F155" s="4"/>
      <c r="H155" s="4"/>
    </row>
    <row r="156" spans="4:8" x14ac:dyDescent="0.25">
      <c r="D156" s="4"/>
      <c r="F156" s="4"/>
      <c r="H156" s="4"/>
    </row>
    <row r="157" spans="4:8" x14ac:dyDescent="0.25">
      <c r="D157" s="4"/>
      <c r="F157" s="4"/>
      <c r="H157" s="4"/>
    </row>
    <row r="158" spans="4:8" x14ac:dyDescent="0.25">
      <c r="D158" s="4"/>
      <c r="F158" s="4"/>
      <c r="H158" s="4"/>
    </row>
    <row r="159" spans="4:8" x14ac:dyDescent="0.25">
      <c r="D159" s="4"/>
      <c r="F159" s="4"/>
      <c r="H159" s="4"/>
    </row>
    <row r="160" spans="4:8" x14ac:dyDescent="0.25">
      <c r="D160" s="4"/>
      <c r="F160" s="4"/>
      <c r="H160" s="4"/>
    </row>
    <row r="161" spans="4:8" x14ac:dyDescent="0.25">
      <c r="D161" s="4"/>
      <c r="F161" s="4"/>
      <c r="H161" s="4"/>
    </row>
    <row r="162" spans="4:8" x14ac:dyDescent="0.25">
      <c r="D162" s="4"/>
      <c r="F162" s="4"/>
      <c r="H162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4032-2508-47B1-80B9-618F50175D72}">
  <sheetPr>
    <pageSetUpPr fitToPage="1"/>
  </sheetPr>
  <dimension ref="A2:L97"/>
  <sheetViews>
    <sheetView topLeftCell="B1" zoomScaleNormal="100" workbookViewId="0">
      <selection activeCell="I58" sqref="I58"/>
    </sheetView>
  </sheetViews>
  <sheetFormatPr defaultRowHeight="15" x14ac:dyDescent="0.25"/>
  <cols>
    <col min="1" max="1" width="9.7109375" customWidth="1"/>
    <col min="2" max="2" width="19.28515625" customWidth="1"/>
    <col min="3" max="3" width="49.85546875" customWidth="1"/>
    <col min="4" max="4" width="16.42578125" style="4" customWidth="1"/>
    <col min="5" max="5" width="13.7109375" style="4" customWidth="1"/>
    <col min="6" max="6" width="16.7109375" style="476" customWidth="1"/>
    <col min="7" max="7" width="15.42578125" style="4" customWidth="1"/>
    <col min="8" max="8" width="14" style="4" customWidth="1"/>
    <col min="9" max="9" width="36.7109375" customWidth="1"/>
  </cols>
  <sheetData>
    <row r="2" spans="1:12" s="39" customFormat="1" ht="30" customHeight="1" x14ac:dyDescent="0.55000000000000004">
      <c r="C2" s="47" t="s">
        <v>85</v>
      </c>
      <c r="D2" s="499" t="s">
        <v>1947</v>
      </c>
      <c r="E2" s="98"/>
      <c r="F2" s="482"/>
      <c r="G2" s="99"/>
      <c r="H2" s="99"/>
    </row>
    <row r="3" spans="1:12" s="39" customFormat="1" ht="21" x14ac:dyDescent="0.35">
      <c r="C3" s="47" t="s">
        <v>1944</v>
      </c>
      <c r="D3" s="99"/>
      <c r="E3" s="99"/>
      <c r="F3" s="482"/>
      <c r="G3" s="99"/>
      <c r="H3" s="99"/>
    </row>
    <row r="4" spans="1:12" s="39" customFormat="1" ht="21" x14ac:dyDescent="0.35">
      <c r="A4" s="40" t="s">
        <v>0</v>
      </c>
      <c r="C4" s="47"/>
      <c r="D4" s="98"/>
      <c r="E4" s="98"/>
      <c r="F4" s="482"/>
      <c r="G4" s="99"/>
      <c r="H4" s="99"/>
    </row>
    <row r="5" spans="1:12" s="40" customFormat="1" ht="21" x14ac:dyDescent="0.35">
      <c r="A5" s="41"/>
      <c r="B5" s="41"/>
      <c r="C5" s="41"/>
      <c r="D5" s="100" t="s">
        <v>233</v>
      </c>
      <c r="E5" s="102" t="s">
        <v>337</v>
      </c>
      <c r="F5" s="101" t="s">
        <v>234</v>
      </c>
      <c r="G5" s="112" t="s">
        <v>1522</v>
      </c>
      <c r="H5" s="112" t="s">
        <v>1464</v>
      </c>
      <c r="I5" s="497" t="s">
        <v>1945</v>
      </c>
      <c r="J5" s="15"/>
      <c r="K5" s="15"/>
      <c r="L5" s="15"/>
    </row>
    <row r="6" spans="1:12" s="16" customFormat="1" x14ac:dyDescent="0.25">
      <c r="A6" s="42" t="s">
        <v>230</v>
      </c>
      <c r="B6" s="42" t="s">
        <v>231</v>
      </c>
      <c r="C6" s="42" t="s">
        <v>232</v>
      </c>
      <c r="D6" s="102"/>
      <c r="E6" s="102" t="s">
        <v>338</v>
      </c>
      <c r="F6" s="103" t="s">
        <v>290</v>
      </c>
      <c r="G6" s="113" t="s">
        <v>1939</v>
      </c>
      <c r="H6" s="113" t="s">
        <v>1946</v>
      </c>
      <c r="I6" s="60"/>
    </row>
    <row r="7" spans="1:12" ht="15.75" x14ac:dyDescent="0.25">
      <c r="A7" s="43"/>
      <c r="B7" s="1"/>
      <c r="C7" s="1"/>
      <c r="D7" s="104"/>
      <c r="E7" s="104"/>
      <c r="F7" s="283"/>
      <c r="G7" s="114"/>
      <c r="H7" s="114"/>
      <c r="I7" s="1"/>
    </row>
    <row r="8" spans="1:12" ht="21" x14ac:dyDescent="0.35">
      <c r="A8" s="38" t="s">
        <v>117</v>
      </c>
      <c r="B8" s="45"/>
      <c r="C8" s="45"/>
      <c r="D8" s="69"/>
      <c r="E8" s="69"/>
      <c r="F8" s="481"/>
      <c r="G8" s="115"/>
      <c r="H8" s="115"/>
      <c r="I8" s="43"/>
    </row>
    <row r="9" spans="1:12" ht="15.75" x14ac:dyDescent="0.25">
      <c r="A9" s="488"/>
      <c r="B9" s="489" t="s">
        <v>270</v>
      </c>
      <c r="C9" s="489"/>
      <c r="D9" s="490"/>
      <c r="E9" s="490"/>
      <c r="F9" s="491"/>
      <c r="G9" s="115"/>
      <c r="H9" s="115"/>
      <c r="I9" s="43"/>
    </row>
    <row r="10" spans="1:12" ht="15.75" x14ac:dyDescent="0.25">
      <c r="A10" s="43">
        <v>1635</v>
      </c>
      <c r="B10" s="44" t="s">
        <v>298</v>
      </c>
      <c r="C10" s="44" t="s">
        <v>297</v>
      </c>
      <c r="D10" s="69">
        <f>SUM(F10:F10)</f>
        <v>3500</v>
      </c>
      <c r="E10" s="69">
        <f>D10-ROUND(D10/1.15,0)</f>
        <v>457</v>
      </c>
      <c r="F10" s="481">
        <v>3500</v>
      </c>
      <c r="G10" s="115">
        <v>3500</v>
      </c>
      <c r="H10" s="115"/>
      <c r="I10" s="43"/>
    </row>
    <row r="11" spans="1:12" ht="15.75" x14ac:dyDescent="0.25">
      <c r="A11" s="43">
        <v>1655</v>
      </c>
      <c r="B11" s="44" t="s">
        <v>307</v>
      </c>
      <c r="C11" s="44" t="s">
        <v>299</v>
      </c>
      <c r="D11" s="69">
        <f>SUM(F11:F11)</f>
        <v>800</v>
      </c>
      <c r="E11" s="69">
        <f>D11-ROUND(D11/1.15,0)</f>
        <v>104</v>
      </c>
      <c r="F11" s="481">
        <v>800</v>
      </c>
      <c r="G11" s="115"/>
      <c r="H11" s="115"/>
      <c r="I11" s="43"/>
    </row>
    <row r="12" spans="1:12" ht="15.75" x14ac:dyDescent="0.25">
      <c r="A12" s="43"/>
      <c r="B12" s="44"/>
      <c r="C12" s="44"/>
      <c r="D12" s="69"/>
      <c r="E12" s="69"/>
      <c r="F12" s="481"/>
      <c r="G12" s="115"/>
      <c r="H12" s="115"/>
      <c r="I12" s="43"/>
    </row>
    <row r="13" spans="1:12" ht="15.75" x14ac:dyDescent="0.25">
      <c r="A13" s="488"/>
      <c r="B13" s="489" t="s">
        <v>271</v>
      </c>
      <c r="C13" s="489"/>
      <c r="D13" s="490"/>
      <c r="E13" s="490"/>
      <c r="F13" s="491"/>
      <c r="G13" s="115"/>
      <c r="H13" s="115"/>
      <c r="I13" s="43"/>
    </row>
    <row r="14" spans="1:12" ht="15.75" x14ac:dyDescent="0.25">
      <c r="A14" s="43">
        <v>1645</v>
      </c>
      <c r="B14" s="44" t="s">
        <v>302</v>
      </c>
      <c r="C14" s="44" t="s">
        <v>228</v>
      </c>
      <c r="D14" s="69">
        <f>SUM(F14:F14)</f>
        <v>0</v>
      </c>
      <c r="E14" s="69">
        <f t="shared" ref="E14:E17" si="0">D14-ROUND(D14/1.15,0)</f>
        <v>0</v>
      </c>
      <c r="F14" s="481"/>
      <c r="G14" s="115"/>
      <c r="H14" s="115"/>
      <c r="I14" s="43" t="s">
        <v>259</v>
      </c>
    </row>
    <row r="15" spans="1:12" ht="15.75" x14ac:dyDescent="0.25">
      <c r="A15" s="43">
        <v>1664</v>
      </c>
      <c r="B15" s="44" t="s">
        <v>306</v>
      </c>
      <c r="C15" s="44" t="s">
        <v>261</v>
      </c>
      <c r="D15" s="69"/>
      <c r="E15" s="69"/>
      <c r="F15" s="481" t="s">
        <v>1512</v>
      </c>
      <c r="G15" s="115"/>
      <c r="H15" s="115"/>
      <c r="I15" s="43"/>
    </row>
    <row r="16" spans="1:12" ht="15.75" x14ac:dyDescent="0.25">
      <c r="A16" s="43">
        <v>1625</v>
      </c>
      <c r="B16" s="44" t="s">
        <v>301</v>
      </c>
      <c r="C16" s="44" t="s">
        <v>296</v>
      </c>
      <c r="D16" s="69">
        <f>SUM(F16:F16)</f>
        <v>10000</v>
      </c>
      <c r="E16" s="69">
        <f t="shared" si="0"/>
        <v>1304</v>
      </c>
      <c r="F16" s="481">
        <v>10000</v>
      </c>
      <c r="G16" s="115"/>
      <c r="H16" s="115"/>
      <c r="I16" s="43"/>
    </row>
    <row r="17" spans="1:9" ht="15.75" x14ac:dyDescent="0.25">
      <c r="A17" s="43">
        <v>1625</v>
      </c>
      <c r="B17" s="44" t="s">
        <v>240</v>
      </c>
      <c r="C17" s="44" t="s">
        <v>1530</v>
      </c>
      <c r="D17" s="69">
        <f>SUM(F17:F17)</f>
        <v>2000</v>
      </c>
      <c r="E17" s="69">
        <f t="shared" si="0"/>
        <v>261</v>
      </c>
      <c r="F17" s="481">
        <v>2000</v>
      </c>
      <c r="G17" s="115"/>
      <c r="H17" s="115"/>
      <c r="I17" s="43"/>
    </row>
    <row r="18" spans="1:9" ht="15.75" x14ac:dyDescent="0.25">
      <c r="A18" s="43"/>
      <c r="B18" s="44"/>
      <c r="C18" s="44"/>
      <c r="D18" s="69"/>
      <c r="E18" s="69"/>
      <c r="F18" s="481"/>
      <c r="G18" s="115"/>
      <c r="H18" s="115"/>
      <c r="I18" s="43"/>
    </row>
    <row r="19" spans="1:9" ht="15.75" x14ac:dyDescent="0.25">
      <c r="A19" s="494"/>
      <c r="B19" s="495" t="s">
        <v>1458</v>
      </c>
      <c r="C19" s="496"/>
      <c r="D19" s="490"/>
      <c r="E19" s="490"/>
      <c r="F19" s="491"/>
      <c r="G19" s="115"/>
      <c r="H19" s="115"/>
      <c r="I19" s="43"/>
    </row>
    <row r="20" spans="1:9" ht="15.75" x14ac:dyDescent="0.25">
      <c r="A20" s="43"/>
      <c r="B20" s="60" t="s">
        <v>1459</v>
      </c>
      <c r="C20" s="44" t="s">
        <v>1460</v>
      </c>
      <c r="D20" s="69">
        <f>SUM(F20:F20)</f>
        <v>10000</v>
      </c>
      <c r="E20" s="69">
        <f t="shared" ref="E20" si="1">D20-ROUND(D20/1.15,0)</f>
        <v>1304</v>
      </c>
      <c r="F20" s="481">
        <v>10000</v>
      </c>
      <c r="G20" s="115">
        <v>10000</v>
      </c>
      <c r="H20" s="115"/>
      <c r="I20" s="43"/>
    </row>
    <row r="21" spans="1:9" ht="15.75" x14ac:dyDescent="0.25">
      <c r="A21" s="43"/>
      <c r="B21" s="44"/>
      <c r="C21" s="44"/>
      <c r="D21" s="69"/>
      <c r="E21" s="69"/>
      <c r="F21" s="481"/>
      <c r="G21" s="115"/>
      <c r="H21" s="115"/>
      <c r="I21" s="43"/>
    </row>
    <row r="22" spans="1:9" ht="15.75" x14ac:dyDescent="0.25">
      <c r="A22" s="488"/>
      <c r="B22" s="489" t="s">
        <v>272</v>
      </c>
      <c r="C22" s="489"/>
      <c r="D22" s="490"/>
      <c r="E22" s="490"/>
      <c r="F22" s="491"/>
      <c r="G22" s="115"/>
      <c r="H22" s="115"/>
      <c r="I22" s="43"/>
    </row>
    <row r="23" spans="1:9" ht="15.75" x14ac:dyDescent="0.25">
      <c r="A23" s="46">
        <v>1610</v>
      </c>
      <c r="B23" s="48" t="s">
        <v>263</v>
      </c>
      <c r="C23" s="48" t="s">
        <v>262</v>
      </c>
      <c r="D23" s="69">
        <f>SUM(F23:F23)</f>
        <v>20000</v>
      </c>
      <c r="E23" s="69">
        <f t="shared" ref="E23:E26" si="2">D23-ROUND(D23/1.15,0)</f>
        <v>2609</v>
      </c>
      <c r="F23" s="481">
        <v>20000</v>
      </c>
      <c r="G23" s="115"/>
      <c r="H23" s="115"/>
      <c r="I23" s="43" t="s">
        <v>265</v>
      </c>
    </row>
    <row r="24" spans="1:9" ht="15.75" x14ac:dyDescent="0.25">
      <c r="A24" s="46">
        <v>1610</v>
      </c>
      <c r="B24" s="48" t="s">
        <v>263</v>
      </c>
      <c r="C24" s="48" t="s">
        <v>1923</v>
      </c>
      <c r="D24" s="69">
        <f>SUM(F24:F24)</f>
        <v>5000</v>
      </c>
      <c r="E24" s="69">
        <f t="shared" si="2"/>
        <v>652</v>
      </c>
      <c r="F24" s="481">
        <v>5000</v>
      </c>
      <c r="G24" s="115"/>
      <c r="H24" s="115"/>
      <c r="I24" s="43"/>
    </row>
    <row r="25" spans="1:9" ht="15.75" x14ac:dyDescent="0.25">
      <c r="A25" s="43">
        <v>1660</v>
      </c>
      <c r="B25" s="44" t="s">
        <v>303</v>
      </c>
      <c r="C25" s="44" t="s">
        <v>1910</v>
      </c>
      <c r="D25" s="69">
        <f>SUM(F25:F25)</f>
        <v>25000</v>
      </c>
      <c r="E25" s="69">
        <f t="shared" si="2"/>
        <v>3261</v>
      </c>
      <c r="F25" s="481">
        <v>25000</v>
      </c>
      <c r="G25" s="115"/>
      <c r="H25" s="115"/>
      <c r="I25" s="43"/>
    </row>
    <row r="26" spans="1:9" ht="15.75" x14ac:dyDescent="0.25">
      <c r="A26" s="43"/>
      <c r="B26" s="44"/>
      <c r="C26" s="44" t="s">
        <v>1909</v>
      </c>
      <c r="D26" s="69">
        <f>SUM(F26:F26)</f>
        <v>5000</v>
      </c>
      <c r="E26" s="69">
        <f t="shared" si="2"/>
        <v>652</v>
      </c>
      <c r="F26" s="481">
        <v>5000</v>
      </c>
      <c r="G26" s="115"/>
      <c r="H26" s="115"/>
      <c r="I26" s="43"/>
    </row>
    <row r="27" spans="1:9" ht="15.75" x14ac:dyDescent="0.25">
      <c r="A27" s="46"/>
      <c r="B27" s="45"/>
      <c r="C27" s="45"/>
      <c r="D27" s="69"/>
      <c r="E27" s="69"/>
      <c r="F27" s="481"/>
      <c r="G27" s="115"/>
      <c r="H27" s="115"/>
      <c r="I27" s="43"/>
    </row>
    <row r="28" spans="1:9" ht="15.75" x14ac:dyDescent="0.25">
      <c r="A28" s="488"/>
      <c r="B28" s="489" t="s">
        <v>275</v>
      </c>
      <c r="C28" s="489"/>
      <c r="D28" s="490"/>
      <c r="E28" s="490"/>
      <c r="F28" s="491"/>
      <c r="G28" s="115"/>
      <c r="H28" s="115"/>
      <c r="I28" s="43"/>
    </row>
    <row r="29" spans="1:9" ht="15.75" x14ac:dyDescent="0.25">
      <c r="A29" s="46">
        <v>1685</v>
      </c>
      <c r="B29" s="43"/>
      <c r="C29" s="48" t="s">
        <v>277</v>
      </c>
      <c r="D29" s="69"/>
      <c r="E29" s="69"/>
      <c r="F29" s="481" t="s">
        <v>1512</v>
      </c>
      <c r="G29" s="115"/>
      <c r="H29" s="115"/>
      <c r="I29" s="43"/>
    </row>
    <row r="30" spans="1:9" ht="15.75" x14ac:dyDescent="0.25">
      <c r="A30" s="46">
        <v>1685</v>
      </c>
      <c r="B30" s="43"/>
      <c r="C30" s="48" t="s">
        <v>278</v>
      </c>
      <c r="D30" s="69"/>
      <c r="E30" s="69"/>
      <c r="F30" s="481" t="s">
        <v>1512</v>
      </c>
      <c r="G30" s="115"/>
      <c r="H30" s="115"/>
      <c r="I30" s="43"/>
    </row>
    <row r="31" spans="1:9" ht="15.75" x14ac:dyDescent="0.25">
      <c r="A31" s="46" t="s">
        <v>308</v>
      </c>
      <c r="B31" s="48" t="s">
        <v>279</v>
      </c>
      <c r="C31" s="45" t="s">
        <v>344</v>
      </c>
      <c r="D31" s="69">
        <f t="shared" ref="D31:D37" si="3">SUM(F31:F31)</f>
        <v>2500</v>
      </c>
      <c r="E31" s="69">
        <f t="shared" ref="E31:E37" si="4">D31-ROUND(D31/1.15,0)</f>
        <v>326</v>
      </c>
      <c r="F31" s="481">
        <v>2500</v>
      </c>
      <c r="G31" s="115"/>
      <c r="H31" s="115"/>
      <c r="I31" s="43"/>
    </row>
    <row r="32" spans="1:9" ht="15.75" x14ac:dyDescent="0.25">
      <c r="A32" s="46" t="s">
        <v>308</v>
      </c>
      <c r="B32" s="48" t="s">
        <v>280</v>
      </c>
      <c r="C32" s="45" t="s">
        <v>343</v>
      </c>
      <c r="D32" s="69">
        <f t="shared" si="3"/>
        <v>5000</v>
      </c>
      <c r="E32" s="69">
        <f t="shared" si="4"/>
        <v>652</v>
      </c>
      <c r="F32" s="481">
        <v>5000</v>
      </c>
      <c r="G32" s="115"/>
      <c r="H32" s="115"/>
      <c r="I32" s="43"/>
    </row>
    <row r="33" spans="1:9" ht="15.75" x14ac:dyDescent="0.25">
      <c r="A33" s="46" t="s">
        <v>308</v>
      </c>
      <c r="B33" s="48" t="s">
        <v>281</v>
      </c>
      <c r="C33" s="45" t="s">
        <v>282</v>
      </c>
      <c r="D33" s="69">
        <f t="shared" si="3"/>
        <v>4000</v>
      </c>
      <c r="E33" s="69">
        <f t="shared" si="4"/>
        <v>522</v>
      </c>
      <c r="F33" s="481">
        <v>4000</v>
      </c>
      <c r="G33" s="115"/>
      <c r="H33" s="115"/>
      <c r="I33" s="43"/>
    </row>
    <row r="34" spans="1:9" ht="15.75" x14ac:dyDescent="0.25">
      <c r="A34" s="46">
        <v>1650</v>
      </c>
      <c r="B34" s="48" t="s">
        <v>283</v>
      </c>
      <c r="C34" s="45" t="s">
        <v>287</v>
      </c>
      <c r="D34" s="69">
        <f t="shared" si="3"/>
        <v>1000</v>
      </c>
      <c r="E34" s="69">
        <f t="shared" si="4"/>
        <v>130</v>
      </c>
      <c r="F34" s="481">
        <v>1000</v>
      </c>
      <c r="G34" s="115"/>
      <c r="H34" s="115"/>
      <c r="I34" s="43"/>
    </row>
    <row r="35" spans="1:9" ht="15.75" x14ac:dyDescent="0.25">
      <c r="A35" s="43" t="s">
        <v>308</v>
      </c>
      <c r="B35" s="44" t="s">
        <v>1930</v>
      </c>
      <c r="C35" s="44" t="s">
        <v>267</v>
      </c>
      <c r="D35" s="69">
        <f t="shared" si="3"/>
        <v>2500</v>
      </c>
      <c r="E35" s="69">
        <f t="shared" si="4"/>
        <v>326</v>
      </c>
      <c r="F35" s="481">
        <v>2500</v>
      </c>
      <c r="G35" s="115"/>
      <c r="H35" s="115"/>
      <c r="I35" s="43"/>
    </row>
    <row r="36" spans="1:9" ht="15.75" x14ac:dyDescent="0.25">
      <c r="A36" s="43" t="s">
        <v>309</v>
      </c>
      <c r="B36" s="44" t="s">
        <v>1929</v>
      </c>
      <c r="C36" s="44" t="s">
        <v>268</v>
      </c>
      <c r="D36" s="371">
        <f t="shared" si="3"/>
        <v>85000</v>
      </c>
      <c r="E36" s="69">
        <f t="shared" si="4"/>
        <v>11087</v>
      </c>
      <c r="F36" s="481">
        <v>85000</v>
      </c>
      <c r="G36" s="115">
        <v>70000</v>
      </c>
      <c r="H36" s="115"/>
      <c r="I36" s="43" t="s">
        <v>286</v>
      </c>
    </row>
    <row r="37" spans="1:9" ht="15.75" x14ac:dyDescent="0.25">
      <c r="A37" s="43" t="s">
        <v>308</v>
      </c>
      <c r="B37" s="44" t="s">
        <v>1928</v>
      </c>
      <c r="C37" s="44" t="s">
        <v>243</v>
      </c>
      <c r="D37" s="69">
        <f t="shared" si="3"/>
        <v>25000</v>
      </c>
      <c r="E37" s="69">
        <f t="shared" si="4"/>
        <v>3261</v>
      </c>
      <c r="F37" s="481">
        <v>25000</v>
      </c>
      <c r="G37" s="115">
        <v>25000</v>
      </c>
      <c r="H37" s="115"/>
      <c r="I37" s="43"/>
    </row>
    <row r="38" spans="1:9" ht="15.75" x14ac:dyDescent="0.25">
      <c r="A38" s="43"/>
      <c r="B38" s="44" t="s">
        <v>1928</v>
      </c>
      <c r="C38" s="44" t="s">
        <v>244</v>
      </c>
      <c r="D38" s="69"/>
      <c r="E38" s="69"/>
      <c r="F38" s="481" t="s">
        <v>1512</v>
      </c>
      <c r="G38" s="115"/>
      <c r="H38" s="115"/>
      <c r="I38" s="43"/>
    </row>
    <row r="39" spans="1:9" ht="15.75" x14ac:dyDescent="0.25">
      <c r="A39" s="43">
        <v>1600</v>
      </c>
      <c r="B39" s="44" t="s">
        <v>288</v>
      </c>
      <c r="C39" s="44" t="s">
        <v>289</v>
      </c>
      <c r="D39" s="69"/>
      <c r="E39" s="69"/>
      <c r="F39" s="481" t="s">
        <v>1512</v>
      </c>
      <c r="G39" s="115"/>
      <c r="H39" s="115"/>
      <c r="I39" s="43"/>
    </row>
    <row r="40" spans="1:9" ht="15.75" x14ac:dyDescent="0.25">
      <c r="A40" s="43"/>
      <c r="B40" s="44" t="s">
        <v>1931</v>
      </c>
      <c r="C40" s="44" t="s">
        <v>1932</v>
      </c>
      <c r="D40" s="69">
        <f>SUM(F40:F40)</f>
        <v>10000</v>
      </c>
      <c r="E40" s="69">
        <f t="shared" ref="E40" si="5">D40-ROUND(D40/1.15,0)</f>
        <v>1304</v>
      </c>
      <c r="F40" s="481">
        <v>10000</v>
      </c>
      <c r="G40" s="115">
        <v>10000</v>
      </c>
      <c r="H40" s="115"/>
      <c r="I40" s="43" t="s">
        <v>1941</v>
      </c>
    </row>
    <row r="41" spans="1:9" ht="15.75" x14ac:dyDescent="0.25">
      <c r="A41" s="43"/>
      <c r="B41" s="44"/>
      <c r="C41" s="44"/>
      <c r="D41" s="69"/>
      <c r="E41" s="69"/>
      <c r="F41" s="481"/>
      <c r="G41" s="115"/>
      <c r="H41" s="115"/>
      <c r="I41" s="43"/>
    </row>
    <row r="42" spans="1:9" ht="15.75" x14ac:dyDescent="0.25">
      <c r="A42" s="488"/>
      <c r="B42" s="489" t="s">
        <v>274</v>
      </c>
      <c r="C42" s="489"/>
      <c r="D42" s="490"/>
      <c r="E42" s="490"/>
      <c r="F42" s="491"/>
      <c r="G42" s="115"/>
      <c r="H42" s="115"/>
      <c r="I42" s="43"/>
    </row>
    <row r="43" spans="1:9" ht="15.75" x14ac:dyDescent="0.25">
      <c r="A43" s="43">
        <v>1650</v>
      </c>
      <c r="B43" s="44" t="s">
        <v>1933</v>
      </c>
      <c r="C43" s="44" t="s">
        <v>269</v>
      </c>
      <c r="D43" s="371">
        <f>SUM(F43:F43)</f>
        <v>62000</v>
      </c>
      <c r="E43" s="69">
        <f t="shared" ref="E43:E45" si="6">D43-ROUND(D43/1.15,0)</f>
        <v>8087</v>
      </c>
      <c r="F43" s="481">
        <v>62000</v>
      </c>
      <c r="G43" s="115">
        <v>40000</v>
      </c>
      <c r="H43" s="115"/>
      <c r="I43" s="43"/>
    </row>
    <row r="44" spans="1:9" ht="15.75" x14ac:dyDescent="0.25">
      <c r="A44" s="46"/>
      <c r="B44" s="45" t="s">
        <v>341</v>
      </c>
      <c r="C44" s="45" t="s">
        <v>1911</v>
      </c>
      <c r="D44" s="371">
        <f>SUM(F44:F44)</f>
        <v>2000</v>
      </c>
      <c r="E44" s="69">
        <f t="shared" si="6"/>
        <v>261</v>
      </c>
      <c r="F44" s="481">
        <v>2000</v>
      </c>
      <c r="G44" s="115"/>
      <c r="H44" s="115"/>
      <c r="I44" s="43"/>
    </row>
    <row r="45" spans="1:9" ht="15.75" x14ac:dyDescent="0.25">
      <c r="A45" s="46">
        <v>1650</v>
      </c>
      <c r="B45" s="44" t="s">
        <v>304</v>
      </c>
      <c r="C45" s="45" t="s">
        <v>1934</v>
      </c>
      <c r="D45" s="69">
        <f>SUM(F45:F45)</f>
        <v>5000</v>
      </c>
      <c r="E45" s="69">
        <f t="shared" si="6"/>
        <v>652</v>
      </c>
      <c r="F45" s="481">
        <v>5000</v>
      </c>
      <c r="G45" s="115"/>
      <c r="H45" s="115"/>
      <c r="I45" s="43"/>
    </row>
    <row r="46" spans="1:9" ht="15.75" x14ac:dyDescent="0.25">
      <c r="A46" s="46"/>
      <c r="B46" s="44" t="s">
        <v>1940</v>
      </c>
      <c r="C46" s="45"/>
      <c r="D46" s="69"/>
      <c r="E46" s="69"/>
      <c r="F46" s="481"/>
      <c r="G46" s="115"/>
      <c r="H46" s="115"/>
      <c r="I46" s="43"/>
    </row>
    <row r="47" spans="1:9" ht="15.75" x14ac:dyDescent="0.25">
      <c r="A47" s="488"/>
      <c r="B47" s="489" t="s">
        <v>273</v>
      </c>
      <c r="C47" s="489"/>
      <c r="D47" s="490"/>
      <c r="E47" s="490"/>
      <c r="F47" s="491"/>
      <c r="G47" s="115"/>
      <c r="H47" s="115"/>
      <c r="I47" s="43" t="s">
        <v>276</v>
      </c>
    </row>
    <row r="48" spans="1:9" ht="15.75" x14ac:dyDescent="0.25">
      <c r="A48" s="46">
        <v>1668</v>
      </c>
      <c r="B48" s="45" t="s">
        <v>310</v>
      </c>
      <c r="C48" s="45" t="s">
        <v>264</v>
      </c>
      <c r="D48" s="69"/>
      <c r="E48" s="69"/>
      <c r="F48" s="481" t="s">
        <v>1512</v>
      </c>
      <c r="G48" s="115"/>
      <c r="H48" s="115"/>
      <c r="I48" s="43"/>
    </row>
    <row r="49" spans="1:9" ht="16.5" thickBot="1" x14ac:dyDescent="0.3">
      <c r="A49" s="54"/>
      <c r="B49" s="49"/>
      <c r="C49" s="49"/>
      <c r="D49" s="69"/>
      <c r="E49" s="71"/>
      <c r="F49" s="483"/>
      <c r="G49" s="116"/>
      <c r="H49" s="116"/>
      <c r="I49" s="50"/>
    </row>
    <row r="50" spans="1:9" ht="16.5" thickBot="1" x14ac:dyDescent="0.3">
      <c r="A50" s="56" t="s">
        <v>311</v>
      </c>
      <c r="B50" s="57"/>
      <c r="C50" s="53"/>
      <c r="D50" s="106">
        <f>SUM(D9:D49)</f>
        <v>285300</v>
      </c>
      <c r="E50" s="106">
        <f>SUM(E9:E49)</f>
        <v>37212</v>
      </c>
      <c r="F50" s="484">
        <f>SUM(F9:F49)</f>
        <v>285300</v>
      </c>
      <c r="G50" s="106">
        <f>SUM(G9:G49)</f>
        <v>158500</v>
      </c>
      <c r="H50" s="106">
        <v>126800</v>
      </c>
      <c r="I50" s="107">
        <f>F50-G50</f>
        <v>126800</v>
      </c>
    </row>
    <row r="51" spans="1:9" ht="15.75" x14ac:dyDescent="0.25">
      <c r="A51" s="55"/>
      <c r="B51" s="51"/>
      <c r="C51" s="51"/>
      <c r="D51" s="69"/>
      <c r="E51" s="108"/>
      <c r="F51" s="485"/>
      <c r="G51" s="117"/>
      <c r="H51" s="117"/>
      <c r="I51" s="52"/>
    </row>
    <row r="52" spans="1:9" ht="21" x14ac:dyDescent="0.35">
      <c r="A52" s="68" t="s">
        <v>3</v>
      </c>
      <c r="B52" s="51"/>
      <c r="C52" s="51"/>
      <c r="D52" s="69"/>
      <c r="E52" s="108"/>
      <c r="F52" s="485"/>
      <c r="G52" s="117"/>
      <c r="H52" s="117"/>
      <c r="I52" s="52"/>
    </row>
    <row r="53" spans="1:9" ht="15.75" x14ac:dyDescent="0.25">
      <c r="A53" s="488"/>
      <c r="B53" s="489" t="s">
        <v>285</v>
      </c>
      <c r="C53" s="489"/>
      <c r="D53" s="490"/>
      <c r="E53" s="490"/>
      <c r="F53" s="491"/>
      <c r="G53" s="115"/>
      <c r="H53" s="115"/>
      <c r="I53" s="43"/>
    </row>
    <row r="54" spans="1:9" ht="15.75" x14ac:dyDescent="0.25">
      <c r="A54" s="43">
        <v>1605</v>
      </c>
      <c r="B54" s="44" t="s">
        <v>266</v>
      </c>
      <c r="C54" s="44" t="s">
        <v>1937</v>
      </c>
      <c r="D54" s="69">
        <f t="shared" ref="D54:D59" si="7">SUM(F54:F54)</f>
        <v>2500</v>
      </c>
      <c r="E54" s="69">
        <f t="shared" ref="E54:E59" si="8">D54-ROUND(D54/1.15,0)</f>
        <v>326</v>
      </c>
      <c r="F54" s="481">
        <v>2500</v>
      </c>
      <c r="G54" s="115"/>
      <c r="H54" s="115"/>
      <c r="I54" s="43"/>
    </row>
    <row r="55" spans="1:9" ht="15.75" x14ac:dyDescent="0.25">
      <c r="A55" s="43">
        <v>1605</v>
      </c>
      <c r="B55" s="44" t="s">
        <v>266</v>
      </c>
      <c r="C55" s="44" t="s">
        <v>245</v>
      </c>
      <c r="D55" s="69">
        <f t="shared" si="7"/>
        <v>9000</v>
      </c>
      <c r="E55" s="69">
        <f t="shared" si="8"/>
        <v>1174</v>
      </c>
      <c r="F55" s="481">
        <v>9000</v>
      </c>
      <c r="G55" s="115">
        <v>9000</v>
      </c>
      <c r="H55" s="115"/>
      <c r="I55" s="43"/>
    </row>
    <row r="56" spans="1:9" ht="15.75" x14ac:dyDescent="0.25">
      <c r="A56" s="43">
        <v>1605</v>
      </c>
      <c r="B56" s="44" t="s">
        <v>266</v>
      </c>
      <c r="C56" s="44" t="s">
        <v>295</v>
      </c>
      <c r="D56" s="69">
        <f t="shared" si="7"/>
        <v>50000</v>
      </c>
      <c r="E56" s="69">
        <f t="shared" si="8"/>
        <v>6522</v>
      </c>
      <c r="F56" s="481">
        <v>50000</v>
      </c>
      <c r="G56" s="115">
        <v>50000</v>
      </c>
      <c r="H56" s="115"/>
      <c r="I56" s="43"/>
    </row>
    <row r="57" spans="1:9" ht="15.75" x14ac:dyDescent="0.25">
      <c r="A57" s="43">
        <v>1605</v>
      </c>
      <c r="B57" s="44" t="s">
        <v>266</v>
      </c>
      <c r="C57" s="65" t="s">
        <v>1938</v>
      </c>
      <c r="D57" s="69">
        <f t="shared" si="7"/>
        <v>5000</v>
      </c>
      <c r="E57" s="69">
        <f t="shared" si="8"/>
        <v>652</v>
      </c>
      <c r="F57" s="483">
        <v>5000</v>
      </c>
      <c r="G57" s="118"/>
      <c r="H57" s="118"/>
      <c r="I57" s="64"/>
    </row>
    <row r="58" spans="1:9" ht="15.75" x14ac:dyDescent="0.25">
      <c r="A58" s="43">
        <v>1605</v>
      </c>
      <c r="B58" s="44" t="s">
        <v>266</v>
      </c>
      <c r="C58" s="65" t="s">
        <v>1922</v>
      </c>
      <c r="D58" s="69">
        <f t="shared" si="7"/>
        <v>4500</v>
      </c>
      <c r="E58" s="69">
        <f t="shared" si="8"/>
        <v>587</v>
      </c>
      <c r="F58" s="481">
        <v>4500</v>
      </c>
      <c r="G58" s="118">
        <v>4500</v>
      </c>
      <c r="H58" s="118"/>
      <c r="I58" s="64"/>
    </row>
    <row r="59" spans="1:9" ht="16.5" thickBot="1" x14ac:dyDescent="0.3">
      <c r="A59" s="43">
        <v>1605</v>
      </c>
      <c r="B59" s="44" t="s">
        <v>266</v>
      </c>
      <c r="C59" s="65" t="s">
        <v>1955</v>
      </c>
      <c r="D59" s="69">
        <f t="shared" si="7"/>
        <v>145000</v>
      </c>
      <c r="E59" s="69">
        <f t="shared" si="8"/>
        <v>18913</v>
      </c>
      <c r="F59" s="481">
        <v>145000</v>
      </c>
      <c r="G59" s="118">
        <v>145000</v>
      </c>
      <c r="H59" s="118"/>
      <c r="I59" s="64"/>
    </row>
    <row r="60" spans="1:9" ht="16.5" thickBot="1" x14ac:dyDescent="0.3">
      <c r="A60" s="62" t="s">
        <v>312</v>
      </c>
      <c r="B60" s="63"/>
      <c r="C60" s="63"/>
      <c r="D60" s="107">
        <f>SUM(D53:D59)</f>
        <v>216000</v>
      </c>
      <c r="E60" s="107">
        <f>SUM(E53:E59)</f>
        <v>28174</v>
      </c>
      <c r="F60" s="486">
        <f>SUM(F53:F59)</f>
        <v>216000</v>
      </c>
      <c r="G60" s="107">
        <f>SUM(G53:G59)</f>
        <v>208500</v>
      </c>
      <c r="H60" s="107">
        <v>7500</v>
      </c>
      <c r="I60" s="107">
        <f>F60-G60</f>
        <v>7500</v>
      </c>
    </row>
    <row r="61" spans="1:9" ht="16.5" thickBot="1" x14ac:dyDescent="0.3">
      <c r="A61" s="66"/>
      <c r="B61" s="67"/>
      <c r="C61" s="67"/>
      <c r="D61" s="110"/>
      <c r="E61" s="110"/>
      <c r="F61" s="487"/>
      <c r="G61" s="119"/>
      <c r="H61" s="119"/>
      <c r="I61" s="17"/>
    </row>
    <row r="62" spans="1:9" s="16" customFormat="1" ht="16.5" thickBot="1" x14ac:dyDescent="0.3">
      <c r="A62" s="62" t="s">
        <v>313</v>
      </c>
      <c r="B62" s="63"/>
      <c r="C62" s="63"/>
      <c r="D62" s="107">
        <f>D50+D60</f>
        <v>501300</v>
      </c>
      <c r="E62" s="107">
        <f>E50+E60</f>
        <v>65386</v>
      </c>
      <c r="F62" s="486">
        <f>F50+F60</f>
        <v>501300</v>
      </c>
      <c r="G62" s="107">
        <f>G50+G60</f>
        <v>367000</v>
      </c>
      <c r="H62" s="107">
        <v>134300</v>
      </c>
      <c r="I62" s="107">
        <f>F62-G62</f>
        <v>134300</v>
      </c>
    </row>
    <row r="63" spans="1:9" ht="21" x14ac:dyDescent="0.35">
      <c r="A63" s="58"/>
      <c r="B63" s="61"/>
      <c r="C63" s="61"/>
      <c r="D63" s="69"/>
      <c r="E63" s="108"/>
      <c r="F63" s="485"/>
      <c r="G63" s="117"/>
      <c r="H63" s="117"/>
      <c r="I63" s="52"/>
    </row>
    <row r="64" spans="1:9" ht="21" x14ac:dyDescent="0.35">
      <c r="A64" s="41" t="s">
        <v>251</v>
      </c>
      <c r="B64" s="60"/>
      <c r="C64" s="44"/>
      <c r="D64" s="69"/>
      <c r="E64" s="69"/>
      <c r="F64" s="481"/>
      <c r="G64" s="115"/>
      <c r="H64" s="115"/>
      <c r="I64" s="43"/>
    </row>
    <row r="65" spans="1:9" ht="15.75" x14ac:dyDescent="0.25">
      <c r="A65" s="43" t="s">
        <v>314</v>
      </c>
      <c r="B65" s="44" t="s">
        <v>315</v>
      </c>
      <c r="C65" s="44" t="s">
        <v>253</v>
      </c>
      <c r="D65" s="69">
        <f>SUM(F65:F65)</f>
        <v>5000</v>
      </c>
      <c r="E65" s="69">
        <f t="shared" ref="E65:E82" si="9">D65-ROUND(D65/1.15,0)</f>
        <v>652</v>
      </c>
      <c r="F65" s="481">
        <v>5000</v>
      </c>
      <c r="G65" s="115"/>
      <c r="H65" s="115"/>
      <c r="I65" s="43"/>
    </row>
    <row r="66" spans="1:9" ht="15.75" x14ac:dyDescent="0.25">
      <c r="A66" s="43" t="s">
        <v>316</v>
      </c>
      <c r="B66" s="44" t="s">
        <v>317</v>
      </c>
      <c r="C66" s="44" t="s">
        <v>118</v>
      </c>
      <c r="D66" s="69">
        <f>SUM(F66:F66)</f>
        <v>400000</v>
      </c>
      <c r="E66" s="69">
        <f t="shared" si="9"/>
        <v>52174</v>
      </c>
      <c r="F66" s="481">
        <v>400000</v>
      </c>
      <c r="G66" s="115">
        <v>360000</v>
      </c>
      <c r="H66" s="115"/>
      <c r="I66" s="43"/>
    </row>
    <row r="67" spans="1:9" ht="15.75" x14ac:dyDescent="0.25">
      <c r="A67" s="43" t="s">
        <v>318</v>
      </c>
      <c r="B67" s="44" t="s">
        <v>319</v>
      </c>
      <c r="C67" s="44" t="s">
        <v>257</v>
      </c>
      <c r="D67" s="69">
        <f>SUM(F67:F67)</f>
        <v>3000</v>
      </c>
      <c r="E67" s="69">
        <f t="shared" si="9"/>
        <v>391</v>
      </c>
      <c r="F67" s="481">
        <v>3000</v>
      </c>
      <c r="G67" s="115"/>
      <c r="H67" s="115"/>
      <c r="I67" s="43" t="s">
        <v>284</v>
      </c>
    </row>
    <row r="68" spans="1:9" ht="15.75" x14ac:dyDescent="0.25">
      <c r="A68" s="43" t="s">
        <v>318</v>
      </c>
      <c r="B68" s="44" t="s">
        <v>319</v>
      </c>
      <c r="C68" s="44" t="s">
        <v>258</v>
      </c>
      <c r="D68" s="69">
        <f>SUM(F68:F68)</f>
        <v>3000</v>
      </c>
      <c r="E68" s="69">
        <f t="shared" si="9"/>
        <v>391</v>
      </c>
      <c r="F68" s="481">
        <v>3000</v>
      </c>
      <c r="G68" s="115"/>
      <c r="H68" s="115"/>
      <c r="I68" s="43"/>
    </row>
    <row r="69" spans="1:9" ht="15.75" x14ac:dyDescent="0.25">
      <c r="A69" s="43" t="s">
        <v>318</v>
      </c>
      <c r="B69" s="44" t="s">
        <v>319</v>
      </c>
      <c r="C69" s="44" t="s">
        <v>242</v>
      </c>
      <c r="D69" s="69">
        <f>SUM(F69:F69)</f>
        <v>3000</v>
      </c>
      <c r="E69" s="69">
        <f t="shared" si="9"/>
        <v>391</v>
      </c>
      <c r="F69" s="481">
        <v>3000</v>
      </c>
      <c r="G69" s="115"/>
      <c r="H69" s="115"/>
      <c r="I69" s="43"/>
    </row>
    <row r="70" spans="1:9" ht="15.75" x14ac:dyDescent="0.25">
      <c r="A70" s="43"/>
      <c r="B70" s="44"/>
      <c r="C70" s="44" t="s">
        <v>1524</v>
      </c>
      <c r="D70" s="69"/>
      <c r="E70" s="69"/>
      <c r="F70" s="481" t="s">
        <v>1512</v>
      </c>
      <c r="G70" s="115"/>
      <c r="H70" s="115"/>
      <c r="I70" s="43"/>
    </row>
    <row r="71" spans="1:9" ht="15.75" x14ac:dyDescent="0.25">
      <c r="A71" s="43" t="s">
        <v>320</v>
      </c>
      <c r="B71" s="44" t="s">
        <v>321</v>
      </c>
      <c r="C71" s="44" t="s">
        <v>252</v>
      </c>
      <c r="D71" s="69">
        <f t="shared" ref="D71:D76" si="10">SUM(F71:F71)</f>
        <v>500</v>
      </c>
      <c r="E71" s="69">
        <f t="shared" si="9"/>
        <v>65</v>
      </c>
      <c r="F71" s="481">
        <v>500</v>
      </c>
      <c r="G71" s="115"/>
      <c r="H71" s="115"/>
      <c r="I71" s="43"/>
    </row>
    <row r="72" spans="1:9" ht="15.75" x14ac:dyDescent="0.25">
      <c r="A72" s="43"/>
      <c r="B72" s="44" t="s">
        <v>1912</v>
      </c>
      <c r="C72" s="1" t="s">
        <v>1525</v>
      </c>
      <c r="D72" s="69">
        <v>385000</v>
      </c>
      <c r="E72" s="69">
        <f t="shared" si="9"/>
        <v>50217</v>
      </c>
      <c r="F72" s="481">
        <v>385000</v>
      </c>
      <c r="G72" s="115">
        <v>350000</v>
      </c>
      <c r="H72" s="115"/>
      <c r="I72" s="43" t="s">
        <v>1943</v>
      </c>
    </row>
    <row r="73" spans="1:9" ht="15.75" x14ac:dyDescent="0.25">
      <c r="A73" s="43"/>
      <c r="B73" s="44"/>
      <c r="C73" s="1" t="s">
        <v>1526</v>
      </c>
      <c r="D73" s="69">
        <f t="shared" si="10"/>
        <v>10000</v>
      </c>
      <c r="E73" s="69">
        <f t="shared" si="9"/>
        <v>1304</v>
      </c>
      <c r="F73" s="481">
        <v>10000</v>
      </c>
      <c r="G73" s="115">
        <v>10000</v>
      </c>
      <c r="H73" s="115"/>
      <c r="I73" s="43"/>
    </row>
    <row r="74" spans="1:9" ht="15.75" x14ac:dyDescent="0.25">
      <c r="A74" s="43"/>
      <c r="B74" s="44"/>
      <c r="C74" s="1" t="s">
        <v>1527</v>
      </c>
      <c r="D74" s="69">
        <f t="shared" si="10"/>
        <v>50000</v>
      </c>
      <c r="E74" s="69">
        <f t="shared" si="9"/>
        <v>6522</v>
      </c>
      <c r="F74" s="481">
        <v>50000</v>
      </c>
      <c r="G74" s="115">
        <v>50000</v>
      </c>
      <c r="H74" s="115"/>
      <c r="I74" s="43" t="s">
        <v>1942</v>
      </c>
    </row>
    <row r="75" spans="1:9" ht="15.75" x14ac:dyDescent="0.25">
      <c r="A75" s="43"/>
      <c r="B75" s="44"/>
      <c r="C75" s="1" t="s">
        <v>1528</v>
      </c>
      <c r="D75" s="69">
        <f t="shared" si="10"/>
        <v>25000</v>
      </c>
      <c r="E75" s="69">
        <f t="shared" si="9"/>
        <v>3261</v>
      </c>
      <c r="F75" s="481">
        <v>25000</v>
      </c>
      <c r="G75" s="115">
        <v>25000</v>
      </c>
      <c r="H75" s="115"/>
      <c r="I75" s="43"/>
    </row>
    <row r="76" spans="1:9" ht="15.75" x14ac:dyDescent="0.25">
      <c r="A76" s="43"/>
      <c r="B76" s="44"/>
      <c r="C76" s="1" t="s">
        <v>1529</v>
      </c>
      <c r="D76" s="69">
        <f t="shared" si="10"/>
        <v>25000</v>
      </c>
      <c r="E76" s="69">
        <f t="shared" si="9"/>
        <v>3261</v>
      </c>
      <c r="F76" s="481">
        <v>25000</v>
      </c>
      <c r="G76" s="115">
        <v>25000</v>
      </c>
      <c r="H76" s="115"/>
      <c r="I76" s="43"/>
    </row>
    <row r="77" spans="1:9" ht="15.75" x14ac:dyDescent="0.25">
      <c r="A77" s="43"/>
      <c r="B77" s="44"/>
      <c r="C77" s="1"/>
      <c r="D77" s="69"/>
      <c r="E77" s="69"/>
      <c r="F77" s="481"/>
      <c r="G77" s="115"/>
      <c r="H77" s="115"/>
      <c r="I77" s="43"/>
    </row>
    <row r="78" spans="1:9" ht="15.75" x14ac:dyDescent="0.25">
      <c r="A78" s="43"/>
      <c r="B78" s="44"/>
      <c r="C78" s="1"/>
      <c r="D78" s="69"/>
      <c r="E78" s="69"/>
      <c r="F78" s="481"/>
      <c r="G78" s="115"/>
      <c r="H78" s="115"/>
      <c r="I78" s="43"/>
    </row>
    <row r="79" spans="1:9" ht="15.75" x14ac:dyDescent="0.25">
      <c r="A79" s="43"/>
      <c r="B79" s="44"/>
      <c r="C79" s="1"/>
      <c r="D79" s="69"/>
      <c r="E79" s="69"/>
      <c r="F79" s="481"/>
      <c r="G79" s="115"/>
      <c r="H79" s="115"/>
      <c r="I79" s="43"/>
    </row>
    <row r="80" spans="1:9" ht="15.75" x14ac:dyDescent="0.25">
      <c r="A80" s="43"/>
      <c r="B80" s="44" t="s">
        <v>1513</v>
      </c>
      <c r="C80" s="1" t="s">
        <v>1511</v>
      </c>
      <c r="D80" s="69">
        <f>SUM(F80:F80)</f>
        <v>1000</v>
      </c>
      <c r="E80" s="69">
        <f t="shared" ref="E80" si="11">D80-ROUND(D80/1.15,0)</f>
        <v>130</v>
      </c>
      <c r="F80" s="481">
        <v>1000</v>
      </c>
      <c r="G80" s="115"/>
      <c r="H80" s="115"/>
      <c r="I80" s="43"/>
    </row>
    <row r="81" spans="1:9" ht="15.75" x14ac:dyDescent="0.25">
      <c r="A81" s="43"/>
      <c r="B81" s="1" t="s">
        <v>1514</v>
      </c>
      <c r="C81" s="1" t="s">
        <v>335</v>
      </c>
      <c r="D81" s="69">
        <f>SUM(F81:F81)</f>
        <v>3000</v>
      </c>
      <c r="E81" s="69">
        <f t="shared" si="9"/>
        <v>391</v>
      </c>
      <c r="F81" s="481">
        <v>3000</v>
      </c>
      <c r="G81" s="115"/>
      <c r="H81" s="115"/>
      <c r="I81" s="43"/>
    </row>
    <row r="82" spans="1:9" ht="16.5" thickBot="1" x14ac:dyDescent="0.3">
      <c r="A82" s="43" t="s">
        <v>318</v>
      </c>
      <c r="B82" s="44" t="s">
        <v>319</v>
      </c>
      <c r="C82" s="1" t="s">
        <v>336</v>
      </c>
      <c r="D82" s="69">
        <f>SUM(F82:F82)</f>
        <v>3000</v>
      </c>
      <c r="E82" s="69">
        <f t="shared" si="9"/>
        <v>391</v>
      </c>
      <c r="F82" s="481">
        <v>3000</v>
      </c>
      <c r="G82" s="115"/>
      <c r="H82" s="115"/>
      <c r="I82" s="43"/>
    </row>
    <row r="83" spans="1:9" ht="16.5" thickBot="1" x14ac:dyDescent="0.3">
      <c r="A83" s="62" t="s">
        <v>1461</v>
      </c>
      <c r="B83" s="63"/>
      <c r="C83" s="63"/>
      <c r="D83" s="107">
        <f>SUM(D65:D82)</f>
        <v>916500</v>
      </c>
      <c r="E83" s="107">
        <f>SUM(E65:E82)</f>
        <v>119541</v>
      </c>
      <c r="F83" s="486">
        <f>SUM(F65:F82)</f>
        <v>916500</v>
      </c>
      <c r="G83" s="107">
        <f>SUM(G65:G82)</f>
        <v>820000</v>
      </c>
      <c r="H83" s="107">
        <v>91500</v>
      </c>
      <c r="I83" s="107">
        <f>F83-G83</f>
        <v>96500</v>
      </c>
    </row>
    <row r="84" spans="1:9" ht="16.5" thickBot="1" x14ac:dyDescent="0.3">
      <c r="A84" s="17"/>
      <c r="D84" s="110"/>
      <c r="E84" s="110"/>
      <c r="F84" s="487"/>
      <c r="G84" s="110"/>
      <c r="H84" s="110"/>
      <c r="I84" s="17"/>
    </row>
    <row r="85" spans="1:9" ht="16.5" thickBot="1" x14ac:dyDescent="0.3">
      <c r="A85" s="62" t="s">
        <v>1463</v>
      </c>
      <c r="B85" s="63"/>
      <c r="C85" s="63"/>
      <c r="D85" s="107">
        <f>D62+D83</f>
        <v>1417800</v>
      </c>
      <c r="E85" s="107">
        <f>E62+E83</f>
        <v>184927</v>
      </c>
      <c r="F85" s="486">
        <f>F62+F83</f>
        <v>1417800</v>
      </c>
      <c r="G85" s="107">
        <f>G62+G83</f>
        <v>1187000</v>
      </c>
      <c r="H85" s="107">
        <v>225800</v>
      </c>
      <c r="I85" s="107">
        <f>F85-G85</f>
        <v>230800</v>
      </c>
    </row>
    <row r="86" spans="1:9" ht="15.75" x14ac:dyDescent="0.25">
      <c r="A86" s="17"/>
      <c r="D86" s="110"/>
      <c r="E86" s="110"/>
      <c r="F86" s="487"/>
      <c r="G86" s="110"/>
      <c r="H86" s="110"/>
      <c r="I86" s="17"/>
    </row>
    <row r="87" spans="1:9" ht="15.75" x14ac:dyDescent="0.25">
      <c r="C87" t="s">
        <v>246</v>
      </c>
      <c r="D87" s="110"/>
      <c r="E87" s="110"/>
      <c r="F87" s="487"/>
      <c r="G87" s="110"/>
      <c r="H87" s="110"/>
      <c r="I87" s="17"/>
    </row>
    <row r="88" spans="1:9" ht="15.75" x14ac:dyDescent="0.25">
      <c r="C88" t="s">
        <v>247</v>
      </c>
      <c r="D88" s="110"/>
      <c r="E88" s="110"/>
      <c r="F88" s="487"/>
      <c r="G88" s="110"/>
      <c r="H88" s="110"/>
      <c r="I88" s="17"/>
    </row>
    <row r="89" spans="1:9" ht="15.75" x14ac:dyDescent="0.25">
      <c r="D89" s="110"/>
      <c r="E89" s="110"/>
      <c r="F89" s="487"/>
      <c r="G89" s="110"/>
      <c r="H89" s="110"/>
      <c r="I89" s="17"/>
    </row>
    <row r="90" spans="1:9" ht="15.75" x14ac:dyDescent="0.25">
      <c r="C90" t="s">
        <v>254</v>
      </c>
      <c r="D90" s="110"/>
      <c r="E90" s="110"/>
      <c r="F90" s="487"/>
      <c r="G90" s="110"/>
      <c r="H90" s="110"/>
      <c r="I90" s="17"/>
    </row>
    <row r="91" spans="1:9" ht="15.75" x14ac:dyDescent="0.25">
      <c r="C91" t="s">
        <v>255</v>
      </c>
      <c r="D91" s="110"/>
      <c r="E91" s="110"/>
      <c r="F91" s="487"/>
      <c r="G91" s="110"/>
      <c r="H91" s="110"/>
      <c r="I91" s="17"/>
    </row>
    <row r="92" spans="1:9" ht="15.75" x14ac:dyDescent="0.25">
      <c r="C92" t="s">
        <v>256</v>
      </c>
      <c r="D92" s="110"/>
      <c r="E92" s="110"/>
      <c r="F92" s="487"/>
      <c r="G92" s="110"/>
      <c r="H92" s="110"/>
      <c r="I92" s="17"/>
    </row>
    <row r="93" spans="1:9" ht="15.75" x14ac:dyDescent="0.25">
      <c r="D93" s="110"/>
      <c r="E93" s="110"/>
      <c r="F93" s="487"/>
      <c r="G93" s="110"/>
      <c r="H93" s="110"/>
      <c r="I93" s="17"/>
    </row>
    <row r="94" spans="1:9" ht="15.75" x14ac:dyDescent="0.25">
      <c r="A94" t="s">
        <v>1924</v>
      </c>
      <c r="D94" s="110"/>
      <c r="E94" s="110"/>
      <c r="F94" s="487"/>
      <c r="G94" s="110"/>
      <c r="H94" s="110"/>
      <c r="I94" s="17"/>
    </row>
    <row r="95" spans="1:9" ht="15.75" x14ac:dyDescent="0.25">
      <c r="A95" s="43" t="s">
        <v>318</v>
      </c>
      <c r="B95" s="44" t="s">
        <v>319</v>
      </c>
      <c r="C95" s="44" t="s">
        <v>323</v>
      </c>
      <c r="D95" s="69">
        <f>SUM(F95:F95)</f>
        <v>0</v>
      </c>
      <c r="E95" s="69">
        <f>D95-ROUND(D95/1.15,0)</f>
        <v>0</v>
      </c>
      <c r="F95" s="481"/>
      <c r="G95" s="373">
        <v>20000</v>
      </c>
      <c r="H95" s="373"/>
      <c r="I95" s="372" t="s">
        <v>1523</v>
      </c>
    </row>
    <row r="96" spans="1:9" ht="15.75" x14ac:dyDescent="0.25">
      <c r="B96" t="s">
        <v>1925</v>
      </c>
      <c r="C96" t="s">
        <v>1926</v>
      </c>
      <c r="D96" s="110"/>
      <c r="E96" s="110"/>
      <c r="F96" s="487"/>
      <c r="G96" s="110"/>
      <c r="H96" s="110"/>
      <c r="I96" s="17"/>
    </row>
    <row r="97" spans="2:9" ht="15.75" x14ac:dyDescent="0.25">
      <c r="B97" t="s">
        <v>1925</v>
      </c>
      <c r="C97" t="s">
        <v>1927</v>
      </c>
      <c r="D97" s="110"/>
      <c r="E97" s="110"/>
      <c r="F97" s="487"/>
      <c r="G97" s="110"/>
      <c r="H97" s="110"/>
      <c r="I97" s="17"/>
    </row>
  </sheetData>
  <printOptions headings="1"/>
  <pageMargins left="0.70866141732283472" right="0.70866141732283472" top="0.74803149606299213" bottom="0.74803149606299213" header="0.31496062992125984" footer="0.31496062992125984"/>
  <pageSetup scale="76" fitToHeight="0" orientation="landscape" r:id="rId1"/>
  <headerFooter>
    <oddFooter>&amp;L&amp;F</oddFooter>
  </headerFooter>
  <rowBreaks count="2" manualBreakCount="2">
    <brk id="41" max="7" man="1"/>
    <brk id="6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4"/>
  <sheetViews>
    <sheetView tabSelected="1" zoomScaleNormal="100" workbookViewId="0">
      <selection activeCell="A8" sqref="A8"/>
    </sheetView>
  </sheetViews>
  <sheetFormatPr defaultRowHeight="15" x14ac:dyDescent="0.25"/>
  <cols>
    <col min="1" max="1" width="35.85546875" customWidth="1"/>
    <col min="3" max="3" width="16.5703125" customWidth="1"/>
    <col min="4" max="4" width="16.42578125" style="4" customWidth="1"/>
    <col min="5" max="5" width="16.7109375" style="4" customWidth="1"/>
    <col min="6" max="6" width="16.42578125" style="4" customWidth="1"/>
    <col min="7" max="7" width="17.7109375" style="4" customWidth="1"/>
    <col min="8" max="8" width="9.140625" style="2"/>
  </cols>
  <sheetData>
    <row r="1" spans="1:12" x14ac:dyDescent="0.25">
      <c r="A1" s="1" t="s">
        <v>1919</v>
      </c>
      <c r="B1" s="1"/>
      <c r="C1" s="1"/>
      <c r="D1" s="104"/>
      <c r="E1" s="104"/>
      <c r="G1" s="104"/>
    </row>
    <row r="2" spans="1:12" s="3" customFormat="1" ht="18.75" x14ac:dyDescent="0.3">
      <c r="A2" s="265"/>
      <c r="B2" s="339" t="s">
        <v>86</v>
      </c>
      <c r="C2" s="472"/>
      <c r="D2" s="277"/>
      <c r="E2" s="277"/>
      <c r="F2" s="275"/>
      <c r="G2" s="277"/>
      <c r="H2" s="266"/>
    </row>
    <row r="3" spans="1:12" s="3" customFormat="1" x14ac:dyDescent="0.25">
      <c r="A3" s="265"/>
      <c r="B3" s="261" t="s">
        <v>1918</v>
      </c>
      <c r="C3" s="262"/>
      <c r="D3" s="277"/>
      <c r="E3" s="277"/>
      <c r="F3" s="275"/>
      <c r="G3" s="277"/>
      <c r="H3" s="266"/>
    </row>
    <row r="4" spans="1:12" x14ac:dyDescent="0.25">
      <c r="A4" s="1"/>
      <c r="B4" s="1"/>
      <c r="C4" s="1"/>
      <c r="D4" s="104"/>
      <c r="E4" s="104"/>
      <c r="F4" s="292" t="s">
        <v>1343</v>
      </c>
      <c r="G4" s="104"/>
    </row>
    <row r="5" spans="1:12" ht="18.75" x14ac:dyDescent="0.3">
      <c r="A5" s="267" t="s">
        <v>1</v>
      </c>
      <c r="B5" s="1"/>
      <c r="C5" s="221" t="s">
        <v>16</v>
      </c>
      <c r="D5" s="221" t="s">
        <v>16</v>
      </c>
      <c r="E5" s="5" t="s">
        <v>16</v>
      </c>
      <c r="F5" s="293" t="s">
        <v>120</v>
      </c>
      <c r="G5" s="5" t="s">
        <v>113</v>
      </c>
    </row>
    <row r="6" spans="1:12" x14ac:dyDescent="0.25">
      <c r="A6" s="1"/>
      <c r="B6" s="1"/>
      <c r="C6" s="221" t="s">
        <v>1531</v>
      </c>
      <c r="D6" s="221" t="s">
        <v>121</v>
      </c>
      <c r="E6" s="5" t="s">
        <v>17</v>
      </c>
      <c r="F6" s="293" t="s">
        <v>17</v>
      </c>
      <c r="G6" s="5" t="s">
        <v>19</v>
      </c>
    </row>
    <row r="7" spans="1:12" x14ac:dyDescent="0.25">
      <c r="A7" s="1" t="s">
        <v>115</v>
      </c>
      <c r="B7" s="1"/>
      <c r="C7" s="1"/>
      <c r="D7" s="104"/>
      <c r="E7" s="104"/>
      <c r="F7" s="294"/>
      <c r="G7" s="104"/>
    </row>
    <row r="8" spans="1:12" x14ac:dyDescent="0.25">
      <c r="A8" s="1" t="s">
        <v>87</v>
      </c>
      <c r="B8" s="1">
        <v>4212</v>
      </c>
      <c r="C8" s="104">
        <v>57000</v>
      </c>
      <c r="D8" s="104">
        <v>57000</v>
      </c>
      <c r="E8" s="104">
        <v>57000</v>
      </c>
      <c r="F8" s="294">
        <v>57113</v>
      </c>
      <c r="G8" s="278">
        <v>57000</v>
      </c>
    </row>
    <row r="9" spans="1:12" x14ac:dyDescent="0.25">
      <c r="A9" s="1" t="s">
        <v>88</v>
      </c>
      <c r="B9" s="1"/>
      <c r="C9" s="104">
        <v>35000</v>
      </c>
      <c r="D9" s="104">
        <v>35000</v>
      </c>
      <c r="E9" s="104">
        <v>38000</v>
      </c>
      <c r="F9" s="294">
        <v>35235</v>
      </c>
      <c r="G9" s="278">
        <v>38000</v>
      </c>
      <c r="I9" t="s">
        <v>1489</v>
      </c>
    </row>
    <row r="10" spans="1:12" x14ac:dyDescent="0.25">
      <c r="A10" s="1" t="s">
        <v>89</v>
      </c>
      <c r="B10" s="1"/>
      <c r="C10" s="104">
        <v>38000</v>
      </c>
      <c r="D10" s="104">
        <v>38000</v>
      </c>
      <c r="E10" s="104">
        <v>38000</v>
      </c>
      <c r="F10" s="294">
        <v>38000</v>
      </c>
      <c r="G10" s="278">
        <v>38000</v>
      </c>
      <c r="I10" t="s">
        <v>1487</v>
      </c>
      <c r="K10" t="s">
        <v>1488</v>
      </c>
    </row>
    <row r="11" spans="1:12" x14ac:dyDescent="0.25">
      <c r="A11" s="1" t="s">
        <v>92</v>
      </c>
      <c r="B11" s="1">
        <v>4033</v>
      </c>
      <c r="C11" s="104">
        <v>3000</v>
      </c>
      <c r="D11" s="104">
        <v>2000</v>
      </c>
      <c r="E11" s="104">
        <v>2500</v>
      </c>
      <c r="F11" s="294">
        <f>ROUND(6265*1/3,0)</f>
        <v>2088</v>
      </c>
      <c r="G11" s="278">
        <v>2500</v>
      </c>
      <c r="I11">
        <v>6265</v>
      </c>
      <c r="J11" t="s">
        <v>1485</v>
      </c>
      <c r="L11" t="s">
        <v>1486</v>
      </c>
    </row>
    <row r="12" spans="1:12" x14ac:dyDescent="0.25">
      <c r="A12" s="1" t="s">
        <v>1495</v>
      </c>
      <c r="B12" s="1"/>
      <c r="C12" s="104">
        <v>1300</v>
      </c>
      <c r="D12" s="326">
        <v>1300</v>
      </c>
      <c r="E12" s="104">
        <v>0</v>
      </c>
      <c r="F12" s="294">
        <v>0</v>
      </c>
      <c r="G12" s="278">
        <v>0</v>
      </c>
      <c r="I12" t="s">
        <v>1496</v>
      </c>
    </row>
    <row r="13" spans="1:12" x14ac:dyDescent="0.25">
      <c r="A13" s="1" t="s">
        <v>90</v>
      </c>
      <c r="B13" s="1">
        <v>4251</v>
      </c>
      <c r="C13" s="104">
        <v>0</v>
      </c>
      <c r="D13" s="104">
        <v>0</v>
      </c>
      <c r="E13" s="104">
        <v>0</v>
      </c>
      <c r="F13" s="294">
        <v>60</v>
      </c>
      <c r="G13" s="278">
        <v>0</v>
      </c>
      <c r="I13" t="s">
        <v>1490</v>
      </c>
    </row>
    <row r="14" spans="1:12" x14ac:dyDescent="0.25">
      <c r="A14" s="1" t="s">
        <v>91</v>
      </c>
      <c r="B14" s="1"/>
      <c r="C14" s="104">
        <v>0</v>
      </c>
      <c r="D14" s="104">
        <v>0</v>
      </c>
      <c r="E14" s="279">
        <v>0</v>
      </c>
      <c r="F14" s="294">
        <v>0</v>
      </c>
      <c r="G14" s="280">
        <v>0</v>
      </c>
      <c r="I14" t="s">
        <v>103</v>
      </c>
      <c r="J14" t="s">
        <v>1497</v>
      </c>
    </row>
    <row r="15" spans="1:12" x14ac:dyDescent="0.25">
      <c r="A15" s="1" t="s">
        <v>1498</v>
      </c>
      <c r="B15" s="1"/>
      <c r="C15" s="104"/>
      <c r="D15" s="104"/>
      <c r="E15" s="4">
        <v>0</v>
      </c>
      <c r="F15" s="294">
        <v>0</v>
      </c>
      <c r="G15" s="278">
        <v>0</v>
      </c>
    </row>
    <row r="16" spans="1:12" x14ac:dyDescent="0.25">
      <c r="A16" s="265" t="s">
        <v>1506</v>
      </c>
      <c r="B16" s="265"/>
      <c r="C16" s="281">
        <f>SUM(C7:C15)</f>
        <v>134300</v>
      </c>
      <c r="D16" s="281">
        <f>SUM(D7:D15)</f>
        <v>133300</v>
      </c>
      <c r="E16" s="281">
        <f>SUM(E7:E15)</f>
        <v>135500</v>
      </c>
      <c r="F16" s="281">
        <f>SUM(F7:F15)</f>
        <v>132496</v>
      </c>
      <c r="G16" s="282">
        <f>SUM(G8:G15)</f>
        <v>135500</v>
      </c>
    </row>
    <row r="17" spans="1:13" x14ac:dyDescent="0.25">
      <c r="A17" s="1"/>
      <c r="B17" s="1"/>
      <c r="C17" s="104"/>
      <c r="D17" s="104"/>
      <c r="E17" s="104"/>
      <c r="F17" s="294"/>
      <c r="G17" s="104"/>
    </row>
    <row r="18" spans="1:13" ht="18.75" x14ac:dyDescent="0.3">
      <c r="A18" s="267" t="s">
        <v>29</v>
      </c>
      <c r="B18" s="1"/>
      <c r="C18" s="104"/>
      <c r="D18" s="104"/>
      <c r="E18" s="104"/>
      <c r="F18" s="294"/>
      <c r="G18" s="104"/>
    </row>
    <row r="19" spans="1:13" x14ac:dyDescent="0.25">
      <c r="A19" s="1"/>
      <c r="B19" s="1"/>
      <c r="C19" s="104"/>
      <c r="D19" s="104"/>
      <c r="E19" s="104"/>
      <c r="F19" s="294"/>
      <c r="G19" s="278"/>
    </row>
    <row r="20" spans="1:13" x14ac:dyDescent="0.25">
      <c r="A20" s="1"/>
      <c r="B20" s="1"/>
      <c r="C20" s="104"/>
      <c r="D20" s="104"/>
      <c r="E20" s="104"/>
      <c r="F20" s="294"/>
      <c r="G20" s="278"/>
      <c r="I20" t="s">
        <v>1493</v>
      </c>
    </row>
    <row r="21" spans="1:13" x14ac:dyDescent="0.25">
      <c r="A21" t="s">
        <v>94</v>
      </c>
      <c r="B21" s="1">
        <v>5581</v>
      </c>
      <c r="C21" s="104">
        <v>60000</v>
      </c>
      <c r="D21" s="104">
        <v>55000</v>
      </c>
      <c r="E21" s="104">
        <v>50900</v>
      </c>
      <c r="F21" s="294"/>
      <c r="G21" s="278">
        <v>57625</v>
      </c>
      <c r="I21">
        <v>110000</v>
      </c>
      <c r="J21" t="s">
        <v>1491</v>
      </c>
      <c r="M21" t="s">
        <v>1492</v>
      </c>
    </row>
    <row r="22" spans="1:13" x14ac:dyDescent="0.25">
      <c r="A22" s="1" t="s">
        <v>69</v>
      </c>
      <c r="B22" s="1">
        <v>5021</v>
      </c>
      <c r="C22" s="104">
        <v>13000</v>
      </c>
      <c r="D22" s="104">
        <v>10000</v>
      </c>
      <c r="E22" s="104">
        <v>19000</v>
      </c>
      <c r="F22" s="294"/>
      <c r="G22" s="278">
        <v>19000</v>
      </c>
    </row>
    <row r="23" spans="1:13" x14ac:dyDescent="0.25">
      <c r="A23" s="1" t="s">
        <v>116</v>
      </c>
      <c r="B23" s="276" t="s">
        <v>1501</v>
      </c>
      <c r="C23" s="283">
        <v>18000</v>
      </c>
      <c r="D23" s="104">
        <v>18000</v>
      </c>
      <c r="E23" s="104">
        <v>18000</v>
      </c>
      <c r="F23" s="294"/>
      <c r="G23" s="278">
        <v>18000</v>
      </c>
    </row>
    <row r="24" spans="1:13" x14ac:dyDescent="0.25">
      <c r="A24" s="1" t="s">
        <v>93</v>
      </c>
      <c r="B24" s="1">
        <v>5502</v>
      </c>
      <c r="C24" s="104">
        <v>26400</v>
      </c>
      <c r="D24" s="104">
        <v>20700</v>
      </c>
      <c r="E24" s="104">
        <v>20700</v>
      </c>
      <c r="F24" s="294"/>
      <c r="G24" s="278">
        <v>20700</v>
      </c>
      <c r="H24"/>
    </row>
    <row r="25" spans="1:13" x14ac:dyDescent="0.25">
      <c r="A25" s="1" t="s">
        <v>43</v>
      </c>
      <c r="B25" s="1">
        <v>5511</v>
      </c>
      <c r="C25" s="104">
        <v>14000</v>
      </c>
      <c r="D25" s="104">
        <v>12000</v>
      </c>
      <c r="E25" s="104">
        <v>15000</v>
      </c>
      <c r="F25" s="294"/>
      <c r="G25" s="278">
        <v>14000</v>
      </c>
    </row>
    <row r="26" spans="1:13" x14ac:dyDescent="0.25">
      <c r="A26" s="1" t="s">
        <v>47</v>
      </c>
      <c r="B26" s="1" t="s">
        <v>369</v>
      </c>
      <c r="C26" s="104">
        <v>15000</v>
      </c>
      <c r="D26" s="104">
        <v>13000</v>
      </c>
      <c r="E26" s="104">
        <v>12000</v>
      </c>
      <c r="F26" s="294"/>
      <c r="G26" s="278">
        <v>8000</v>
      </c>
    </row>
    <row r="27" spans="1:13" x14ac:dyDescent="0.25">
      <c r="A27" s="1" t="s">
        <v>97</v>
      </c>
      <c r="B27" s="1">
        <v>5590</v>
      </c>
      <c r="C27" s="104">
        <v>7500</v>
      </c>
      <c r="D27" s="104">
        <v>7500</v>
      </c>
      <c r="E27" s="104">
        <v>6500</v>
      </c>
      <c r="F27" s="294"/>
      <c r="G27" s="278">
        <v>6500</v>
      </c>
      <c r="H27"/>
    </row>
    <row r="28" spans="1:13" x14ac:dyDescent="0.25">
      <c r="A28" s="1" t="s">
        <v>95</v>
      </c>
      <c r="B28" s="1">
        <v>5571</v>
      </c>
      <c r="C28" s="104">
        <v>2000</v>
      </c>
      <c r="D28" s="104">
        <v>2000</v>
      </c>
      <c r="E28" s="104">
        <v>2200</v>
      </c>
      <c r="F28" s="294"/>
      <c r="G28" s="278">
        <v>2200</v>
      </c>
    </row>
    <row r="29" spans="1:13" x14ac:dyDescent="0.25">
      <c r="A29" s="1" t="s">
        <v>44</v>
      </c>
      <c r="B29" s="1">
        <v>5561</v>
      </c>
      <c r="C29" s="104">
        <v>2000</v>
      </c>
      <c r="D29" s="104">
        <v>1700</v>
      </c>
      <c r="E29" s="104">
        <v>400</v>
      </c>
      <c r="F29" s="294"/>
      <c r="G29" s="278">
        <v>400</v>
      </c>
      <c r="I29" t="s">
        <v>1502</v>
      </c>
    </row>
    <row r="30" spans="1:13" s="3" customFormat="1" x14ac:dyDescent="0.25">
      <c r="A30" s="1" t="s">
        <v>96</v>
      </c>
      <c r="B30" s="265" t="s">
        <v>1504</v>
      </c>
      <c r="C30" s="281">
        <v>2500</v>
      </c>
      <c r="D30" s="281">
        <v>2500</v>
      </c>
      <c r="E30" s="283">
        <v>1000</v>
      </c>
      <c r="F30" s="295"/>
      <c r="G30" s="284">
        <v>2500</v>
      </c>
      <c r="H30" s="266"/>
      <c r="I30" s="3" t="s">
        <v>1503</v>
      </c>
    </row>
    <row r="31" spans="1:13" ht="17.25" x14ac:dyDescent="0.4">
      <c r="A31" s="1" t="s">
        <v>98</v>
      </c>
      <c r="B31" s="1">
        <v>5521</v>
      </c>
      <c r="C31" s="104">
        <v>200</v>
      </c>
      <c r="D31" s="104">
        <v>200</v>
      </c>
      <c r="E31" s="285">
        <v>100</v>
      </c>
      <c r="F31" s="294"/>
      <c r="G31" s="286">
        <v>100</v>
      </c>
    </row>
    <row r="32" spans="1:13" x14ac:dyDescent="0.25">
      <c r="A32" s="265" t="s">
        <v>99</v>
      </c>
      <c r="B32" s="265"/>
      <c r="C32" s="281">
        <f>SUM(C21:C31)</f>
        <v>160600</v>
      </c>
      <c r="D32" s="281">
        <f>SUM(D21:D31)</f>
        <v>142600</v>
      </c>
      <c r="E32" s="281">
        <f>SUM(E21:E31)</f>
        <v>145800</v>
      </c>
      <c r="F32" s="281">
        <f>SUM(F21:F31)</f>
        <v>0</v>
      </c>
      <c r="G32" s="281">
        <f>SUM(G21:G31)</f>
        <v>149025</v>
      </c>
    </row>
    <row r="33" spans="1:10" x14ac:dyDescent="0.25">
      <c r="A33" s="1"/>
      <c r="B33" s="1"/>
      <c r="C33" s="104"/>
      <c r="D33" s="104"/>
      <c r="E33" s="279"/>
      <c r="F33" s="294"/>
      <c r="G33" s="104"/>
    </row>
    <row r="34" spans="1:10" x14ac:dyDescent="0.25">
      <c r="A34" s="265" t="s">
        <v>1505</v>
      </c>
      <c r="B34" s="265"/>
      <c r="C34" s="281">
        <f>C16-C32</f>
        <v>-26300</v>
      </c>
      <c r="D34" s="281">
        <f>D16-D32</f>
        <v>-9300</v>
      </c>
      <c r="E34" s="281">
        <f>E16-E32</f>
        <v>-10300</v>
      </c>
      <c r="F34" s="294"/>
      <c r="G34" s="281">
        <f>G16-G32</f>
        <v>-13525</v>
      </c>
    </row>
    <row r="35" spans="1:10" ht="15.75" customHeight="1" x14ac:dyDescent="0.25">
      <c r="A35" s="3"/>
      <c r="B35" s="3"/>
      <c r="C35" s="275"/>
      <c r="D35" s="275"/>
      <c r="E35" s="275"/>
      <c r="G35" s="275"/>
      <c r="H35"/>
    </row>
    <row r="36" spans="1:10" x14ac:dyDescent="0.25">
      <c r="A36" s="305" t="s">
        <v>373</v>
      </c>
      <c r="B36" s="179"/>
      <c r="C36" s="181"/>
      <c r="D36" s="181"/>
      <c r="E36" s="181"/>
      <c r="F36" s="181"/>
      <c r="G36" s="181"/>
      <c r="H36" s="122"/>
      <c r="I36" s="126"/>
      <c r="J36" s="126"/>
    </row>
    <row r="37" spans="1:10" x14ac:dyDescent="0.25">
      <c r="A37" s="298" t="s">
        <v>1499</v>
      </c>
      <c r="B37" s="179">
        <v>5541</v>
      </c>
      <c r="C37" s="181">
        <v>65000</v>
      </c>
      <c r="D37" s="181">
        <v>65000</v>
      </c>
      <c r="E37" s="181">
        <v>55000</v>
      </c>
      <c r="F37" s="181"/>
      <c r="G37" s="181"/>
      <c r="H37"/>
      <c r="I37" t="s">
        <v>1500</v>
      </c>
    </row>
    <row r="38" spans="1:10" x14ac:dyDescent="0.25">
      <c r="B38" s="231"/>
      <c r="C38" s="233"/>
      <c r="D38" s="233"/>
      <c r="E38" s="233"/>
      <c r="F38" s="181"/>
      <c r="G38" s="181"/>
      <c r="H38"/>
    </row>
    <row r="39" spans="1:10" s="16" customFormat="1" x14ac:dyDescent="0.25">
      <c r="A39" s="297" t="s">
        <v>1515</v>
      </c>
      <c r="B39" s="329"/>
      <c r="C39" s="330">
        <f>C34-C37</f>
        <v>-91300</v>
      </c>
      <c r="D39" s="330">
        <f>D34-D37</f>
        <v>-74300</v>
      </c>
      <c r="E39" s="330">
        <f>E34-E37</f>
        <v>-65300</v>
      </c>
      <c r="F39" s="201"/>
      <c r="G39" s="201"/>
    </row>
    <row r="40" spans="1:10" x14ac:dyDescent="0.25">
      <c r="B40" s="234"/>
      <c r="C40" s="236"/>
      <c r="D40" s="236"/>
      <c r="E40" s="236"/>
      <c r="F40" s="181"/>
      <c r="G40" s="181"/>
      <c r="H40"/>
    </row>
    <row r="41" spans="1:10" ht="18.75" x14ac:dyDescent="0.3">
      <c r="A41" s="328" t="s">
        <v>1301</v>
      </c>
      <c r="B41" s="179"/>
      <c r="C41" s="181"/>
      <c r="D41" s="181"/>
      <c r="E41" s="181"/>
      <c r="F41" s="181"/>
      <c r="G41" s="181"/>
      <c r="H41"/>
    </row>
    <row r="42" spans="1:10" x14ac:dyDescent="0.25">
      <c r="A42" s="304"/>
      <c r="B42" s="179"/>
      <c r="C42" s="181"/>
      <c r="D42" s="181"/>
      <c r="E42" s="181"/>
      <c r="F42" s="181"/>
      <c r="G42" s="181"/>
      <c r="H42"/>
    </row>
    <row r="43" spans="1:10" x14ac:dyDescent="0.25">
      <c r="A43" s="304" t="s">
        <v>1323</v>
      </c>
      <c r="B43" s="179"/>
      <c r="C43" s="181">
        <v>49500</v>
      </c>
      <c r="D43" s="181">
        <v>8250</v>
      </c>
      <c r="E43" s="181">
        <v>0</v>
      </c>
      <c r="F43" s="181"/>
      <c r="G43" s="181"/>
      <c r="H43"/>
    </row>
    <row r="44" spans="1:10" x14ac:dyDescent="0.25">
      <c r="A44" s="331" t="s">
        <v>381</v>
      </c>
      <c r="B44" s="231"/>
      <c r="C44" s="233">
        <v>0</v>
      </c>
      <c r="D44" s="233">
        <v>0</v>
      </c>
      <c r="E44" s="233">
        <v>0</v>
      </c>
      <c r="F44" s="181"/>
      <c r="G44" s="181"/>
      <c r="H44"/>
    </row>
    <row r="45" spans="1:10" x14ac:dyDescent="0.25">
      <c r="A45" s="332" t="s">
        <v>1279</v>
      </c>
      <c r="C45" s="330">
        <f>SUM(C43:C44)</f>
        <v>49500</v>
      </c>
      <c r="D45" s="330">
        <f>SUM(D43:D44)</f>
        <v>8250</v>
      </c>
      <c r="E45" s="330">
        <f>SUM(E43:E44)</f>
        <v>0</v>
      </c>
      <c r="F45" s="181"/>
      <c r="G45" s="181"/>
      <c r="H45"/>
    </row>
    <row r="46" spans="1:10" ht="15.75" thickBot="1" x14ac:dyDescent="0.3">
      <c r="A46" s="333"/>
      <c r="B46" s="338"/>
      <c r="C46" s="473"/>
      <c r="D46" s="334"/>
      <c r="E46" s="334"/>
      <c r="F46" s="181"/>
      <c r="G46" s="181"/>
      <c r="H46"/>
    </row>
    <row r="47" spans="1:10" ht="15.75" thickBot="1" x14ac:dyDescent="0.3">
      <c r="A47" s="335" t="s">
        <v>380</v>
      </c>
      <c r="B47" s="336"/>
      <c r="C47" s="337">
        <f>C39-C45</f>
        <v>-140800</v>
      </c>
      <c r="D47" s="337">
        <f>D39-D45</f>
        <v>-82550</v>
      </c>
      <c r="E47" s="337">
        <f>E39-E45</f>
        <v>-65300</v>
      </c>
      <c r="F47" s="181"/>
      <c r="G47" s="181"/>
      <c r="H47"/>
    </row>
    <row r="48" spans="1:10" x14ac:dyDescent="0.25">
      <c r="E48" s="287"/>
      <c r="H48"/>
    </row>
    <row r="49" spans="1:12" ht="21" x14ac:dyDescent="0.35">
      <c r="A49" s="41"/>
      <c r="B49" s="41"/>
      <c r="C49" s="41"/>
      <c r="D49" s="41"/>
      <c r="E49" s="100"/>
      <c r="F49" s="102" t="s">
        <v>337</v>
      </c>
      <c r="G49" s="101" t="s">
        <v>234</v>
      </c>
      <c r="H49" s="104"/>
      <c r="I49" s="249" t="s">
        <v>1464</v>
      </c>
    </row>
    <row r="50" spans="1:12" x14ac:dyDescent="0.25">
      <c r="A50" s="42" t="s">
        <v>230</v>
      </c>
      <c r="B50" s="42" t="s">
        <v>231</v>
      </c>
      <c r="C50" s="42"/>
      <c r="D50" s="42" t="s">
        <v>232</v>
      </c>
      <c r="E50" s="102"/>
      <c r="F50" s="102" t="s">
        <v>338</v>
      </c>
      <c r="G50" s="103" t="s">
        <v>227</v>
      </c>
      <c r="H50" s="100" t="s">
        <v>1510</v>
      </c>
      <c r="I50" s="249" t="s">
        <v>1465</v>
      </c>
    </row>
    <row r="51" spans="1:12" ht="21" x14ac:dyDescent="0.35">
      <c r="A51" s="41" t="s">
        <v>251</v>
      </c>
      <c r="B51" s="60"/>
      <c r="C51" s="60"/>
      <c r="D51" s="44"/>
      <c r="E51" s="69"/>
      <c r="F51" s="69"/>
      <c r="G51" s="69"/>
      <c r="H51" s="104"/>
      <c r="I51" s="42"/>
      <c r="L51">
        <f t="shared" ref="L51:L55" si="0">ROUND((-G51/1.15)+G51,0)</f>
        <v>0</v>
      </c>
    </row>
    <row r="52" spans="1:12" ht="15.75" x14ac:dyDescent="0.25">
      <c r="A52" s="43" t="s">
        <v>316</v>
      </c>
      <c r="B52" s="44" t="s">
        <v>317</v>
      </c>
      <c r="C52" s="44"/>
      <c r="D52" s="44" t="s">
        <v>118</v>
      </c>
      <c r="E52" s="69"/>
      <c r="F52" s="69">
        <v>52174</v>
      </c>
      <c r="G52" s="69">
        <v>400000</v>
      </c>
      <c r="H52" s="104">
        <v>395000</v>
      </c>
      <c r="I52" s="105">
        <f t="shared" ref="I52" si="1">G52-H52</f>
        <v>5000</v>
      </c>
      <c r="L52">
        <f t="shared" si="0"/>
        <v>52174</v>
      </c>
    </row>
    <row r="53" spans="1:12" ht="15.75" x14ac:dyDescent="0.25">
      <c r="A53" s="43"/>
      <c r="B53" s="44" t="s">
        <v>1513</v>
      </c>
      <c r="C53" s="44"/>
      <c r="D53" s="44" t="s">
        <v>1513</v>
      </c>
      <c r="E53" s="69"/>
      <c r="F53" s="69">
        <f>ROUND(-G53/1.15+G53,0)</f>
        <v>130</v>
      </c>
      <c r="G53" s="104">
        <v>1000</v>
      </c>
      <c r="H53" s="104"/>
      <c r="I53" s="105">
        <f t="shared" ref="I53:I54" si="2">G53-H53</f>
        <v>1000</v>
      </c>
      <c r="L53">
        <f t="shared" si="0"/>
        <v>130</v>
      </c>
    </row>
    <row r="54" spans="1:12" ht="16.5" thickBot="1" x14ac:dyDescent="0.3">
      <c r="A54" s="43"/>
      <c r="B54" s="1" t="s">
        <v>1507</v>
      </c>
      <c r="C54" s="1"/>
      <c r="D54" s="1" t="s">
        <v>335</v>
      </c>
      <c r="E54" s="69"/>
      <c r="F54" s="69">
        <f t="shared" ref="F54" si="3">ROUND(-G54/1.15+G54,0)</f>
        <v>326</v>
      </c>
      <c r="G54" s="69">
        <v>2500</v>
      </c>
      <c r="H54" s="104">
        <v>250</v>
      </c>
      <c r="I54" s="105">
        <f t="shared" si="2"/>
        <v>2250</v>
      </c>
      <c r="K54" t="s">
        <v>1509</v>
      </c>
      <c r="L54">
        <f t="shared" si="0"/>
        <v>326</v>
      </c>
    </row>
    <row r="55" spans="1:12" ht="16.5" thickBot="1" x14ac:dyDescent="0.3">
      <c r="A55" s="62" t="s">
        <v>1461</v>
      </c>
      <c r="B55" s="63"/>
      <c r="C55" s="63"/>
      <c r="D55" s="63"/>
      <c r="E55" s="107"/>
      <c r="F55" s="107">
        <v>54848</v>
      </c>
      <c r="G55" s="107">
        <f>SUM(G52:G54)</f>
        <v>403500</v>
      </c>
      <c r="H55" s="107">
        <f>SUM(H52:H54)</f>
        <v>395250</v>
      </c>
      <c r="I55" s="107">
        <f>SUM(I52:I54)</f>
        <v>8250</v>
      </c>
      <c r="L55">
        <f t="shared" si="0"/>
        <v>52630</v>
      </c>
    </row>
    <row r="56" spans="1:12" x14ac:dyDescent="0.25">
      <c r="A56" s="3"/>
      <c r="B56" s="3"/>
      <c r="C56" s="3"/>
      <c r="D56" s="275"/>
      <c r="E56" s="275"/>
      <c r="G56" s="275"/>
      <c r="H56"/>
    </row>
    <row r="57" spans="1:12" x14ac:dyDescent="0.25">
      <c r="H57"/>
    </row>
    <row r="58" spans="1:12" x14ac:dyDescent="0.25">
      <c r="A58" s="3"/>
      <c r="H58"/>
    </row>
    <row r="59" spans="1:12" x14ac:dyDescent="0.25">
      <c r="H59"/>
    </row>
    <row r="60" spans="1:12" x14ac:dyDescent="0.25">
      <c r="E60" s="288"/>
      <c r="H60"/>
    </row>
    <row r="61" spans="1:12" x14ac:dyDescent="0.25">
      <c r="E61" s="288"/>
      <c r="H61"/>
    </row>
    <row r="62" spans="1:12" x14ac:dyDescent="0.25">
      <c r="E62" s="288"/>
      <c r="H62"/>
    </row>
    <row r="63" spans="1:12" x14ac:dyDescent="0.25">
      <c r="E63" s="288"/>
      <c r="H63"/>
    </row>
    <row r="64" spans="1:12" x14ac:dyDescent="0.25">
      <c r="E64" s="288"/>
      <c r="H64"/>
    </row>
    <row r="65" spans="1:8" x14ac:dyDescent="0.25">
      <c r="E65" s="288"/>
      <c r="H65"/>
    </row>
    <row r="66" spans="1:8" x14ac:dyDescent="0.25">
      <c r="E66" s="288"/>
      <c r="H66"/>
    </row>
    <row r="67" spans="1:8" x14ac:dyDescent="0.25">
      <c r="E67" s="288"/>
      <c r="H67"/>
    </row>
    <row r="68" spans="1:8" x14ac:dyDescent="0.25">
      <c r="E68" s="288"/>
      <c r="H68"/>
    </row>
    <row r="69" spans="1:8" x14ac:dyDescent="0.25">
      <c r="E69" s="288"/>
      <c r="H69"/>
    </row>
    <row r="70" spans="1:8" x14ac:dyDescent="0.25">
      <c r="E70" s="288"/>
      <c r="H70"/>
    </row>
    <row r="71" spans="1:8" x14ac:dyDescent="0.25">
      <c r="E71" s="288"/>
      <c r="H71"/>
    </row>
    <row r="72" spans="1:8" x14ac:dyDescent="0.25">
      <c r="E72" s="288"/>
      <c r="H72"/>
    </row>
    <row r="73" spans="1:8" x14ac:dyDescent="0.25">
      <c r="E73" s="288"/>
      <c r="H73"/>
    </row>
    <row r="74" spans="1:8" x14ac:dyDescent="0.25">
      <c r="E74" s="288"/>
      <c r="H74"/>
    </row>
    <row r="75" spans="1:8" x14ac:dyDescent="0.25">
      <c r="A75" s="3"/>
      <c r="B75" s="3"/>
      <c r="C75" s="3"/>
      <c r="D75" s="275"/>
      <c r="E75" s="289"/>
      <c r="G75" s="275"/>
      <c r="H75"/>
    </row>
    <row r="76" spans="1:8" x14ac:dyDescent="0.25">
      <c r="H76"/>
    </row>
    <row r="77" spans="1:8" x14ac:dyDescent="0.25">
      <c r="A77" s="3"/>
      <c r="H77"/>
    </row>
    <row r="78" spans="1:8" x14ac:dyDescent="0.25">
      <c r="H78"/>
    </row>
    <row r="79" spans="1:8" x14ac:dyDescent="0.25">
      <c r="A79" s="3"/>
      <c r="H79"/>
    </row>
    <row r="80" spans="1:8" x14ac:dyDescent="0.25">
      <c r="H80"/>
    </row>
    <row r="81" spans="1:8" x14ac:dyDescent="0.25">
      <c r="H81"/>
    </row>
    <row r="82" spans="1:8" x14ac:dyDescent="0.25">
      <c r="H82"/>
    </row>
    <row r="83" spans="1:8" x14ac:dyDescent="0.25">
      <c r="H83"/>
    </row>
    <row r="84" spans="1:8" x14ac:dyDescent="0.25">
      <c r="H84"/>
    </row>
    <row r="85" spans="1:8" x14ac:dyDescent="0.25">
      <c r="E85" s="287"/>
      <c r="H85"/>
    </row>
    <row r="86" spans="1:8" x14ac:dyDescent="0.25">
      <c r="H86"/>
    </row>
    <row r="87" spans="1:8" x14ac:dyDescent="0.25">
      <c r="A87" s="3"/>
      <c r="B87" s="3"/>
      <c r="C87" s="3"/>
      <c r="D87" s="275"/>
      <c r="E87" s="290"/>
      <c r="G87" s="275"/>
      <c r="H87"/>
    </row>
    <row r="88" spans="1:8" x14ac:dyDescent="0.25">
      <c r="A88" s="3"/>
      <c r="B88" s="3"/>
      <c r="C88" s="3"/>
      <c r="D88" s="275"/>
      <c r="E88" s="275"/>
      <c r="G88" s="275"/>
      <c r="H88"/>
    </row>
    <row r="89" spans="1:8" x14ac:dyDescent="0.25">
      <c r="H89"/>
    </row>
    <row r="90" spans="1:8" x14ac:dyDescent="0.25">
      <c r="H90"/>
    </row>
    <row r="91" spans="1:8" x14ac:dyDescent="0.25">
      <c r="A91" s="3"/>
      <c r="H91"/>
    </row>
    <row r="92" spans="1:8" x14ac:dyDescent="0.25">
      <c r="H92"/>
    </row>
    <row r="93" spans="1:8" x14ac:dyDescent="0.25">
      <c r="H93"/>
    </row>
    <row r="94" spans="1:8" x14ac:dyDescent="0.25">
      <c r="H94"/>
    </row>
    <row r="95" spans="1:8" x14ac:dyDescent="0.25">
      <c r="H95"/>
    </row>
    <row r="96" spans="1:8" x14ac:dyDescent="0.25">
      <c r="H96"/>
    </row>
    <row r="97" spans="1:8" x14ac:dyDescent="0.25">
      <c r="E97" s="287"/>
      <c r="H97"/>
    </row>
    <row r="98" spans="1:8" x14ac:dyDescent="0.25">
      <c r="H98"/>
    </row>
    <row r="99" spans="1:8" x14ac:dyDescent="0.25">
      <c r="A99" s="3"/>
      <c r="B99" s="3"/>
      <c r="C99" s="3"/>
      <c r="D99" s="275"/>
      <c r="E99" s="275"/>
      <c r="G99" s="275"/>
      <c r="H99"/>
    </row>
    <row r="100" spans="1:8" x14ac:dyDescent="0.25">
      <c r="H100"/>
    </row>
    <row r="101" spans="1:8" x14ac:dyDescent="0.25">
      <c r="A101" s="3"/>
      <c r="H101"/>
    </row>
    <row r="102" spans="1:8" x14ac:dyDescent="0.25">
      <c r="H102"/>
    </row>
    <row r="103" spans="1:8" x14ac:dyDescent="0.25">
      <c r="H103"/>
    </row>
    <row r="104" spans="1:8" x14ac:dyDescent="0.25">
      <c r="H104"/>
    </row>
    <row r="105" spans="1:8" x14ac:dyDescent="0.25">
      <c r="H105"/>
    </row>
    <row r="106" spans="1:8" x14ac:dyDescent="0.25">
      <c r="H106"/>
    </row>
    <row r="107" spans="1:8" x14ac:dyDescent="0.25">
      <c r="E107" s="287"/>
      <c r="H107"/>
    </row>
    <row r="108" spans="1:8" x14ac:dyDescent="0.25">
      <c r="H108"/>
    </row>
    <row r="109" spans="1:8" x14ac:dyDescent="0.25">
      <c r="A109" s="3"/>
      <c r="E109" s="275"/>
      <c r="H109"/>
    </row>
    <row r="110" spans="1:8" x14ac:dyDescent="0.25">
      <c r="A110" s="3"/>
      <c r="E110" s="275"/>
      <c r="H110"/>
    </row>
    <row r="111" spans="1:8" x14ac:dyDescent="0.25">
      <c r="E111" s="275"/>
      <c r="H111"/>
    </row>
    <row r="112" spans="1:8" x14ac:dyDescent="0.25">
      <c r="E112" s="275"/>
      <c r="H112"/>
    </row>
    <row r="113" spans="1:8" x14ac:dyDescent="0.25">
      <c r="E113" s="275"/>
      <c r="H113"/>
    </row>
    <row r="114" spans="1:8" x14ac:dyDescent="0.25">
      <c r="H114"/>
    </row>
    <row r="115" spans="1:8" x14ac:dyDescent="0.25">
      <c r="A115" s="3"/>
      <c r="B115" s="3"/>
      <c r="C115" s="3"/>
      <c r="D115" s="275"/>
      <c r="E115" s="275"/>
      <c r="G115" s="275"/>
      <c r="H115"/>
    </row>
    <row r="117" spans="1:8" x14ac:dyDescent="0.25">
      <c r="A117" s="3"/>
      <c r="H117"/>
    </row>
    <row r="118" spans="1:8" x14ac:dyDescent="0.25">
      <c r="H118"/>
    </row>
    <row r="119" spans="1:8" x14ac:dyDescent="0.25">
      <c r="E119" s="288"/>
      <c r="H119"/>
    </row>
    <row r="120" spans="1:8" x14ac:dyDescent="0.25">
      <c r="E120" s="288"/>
      <c r="H120"/>
    </row>
    <row r="121" spans="1:8" x14ac:dyDescent="0.25">
      <c r="E121" s="288"/>
      <c r="H121"/>
    </row>
    <row r="122" spans="1:8" ht="17.25" x14ac:dyDescent="0.4">
      <c r="E122" s="291"/>
      <c r="H122"/>
    </row>
    <row r="123" spans="1:8" x14ac:dyDescent="0.25">
      <c r="H123"/>
    </row>
    <row r="124" spans="1:8" x14ac:dyDescent="0.25">
      <c r="A124" s="3"/>
      <c r="B124" s="3"/>
      <c r="C124" s="3"/>
      <c r="D124" s="275"/>
      <c r="E124" s="275"/>
      <c r="G124" s="275"/>
      <c r="H124"/>
    </row>
  </sheetData>
  <phoneticPr fontId="8" type="noConversion"/>
  <printOptions headings="1"/>
  <pageMargins left="0.70866141732283472" right="0.70866141732283472" top="0.74803149606299213" bottom="0.74803149606299213" header="0.31496062992125984" footer="0.31496062992125984"/>
  <pageSetup scale="91" orientation="portrait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9"/>
  <sheetViews>
    <sheetView zoomScaleNormal="100" workbookViewId="0">
      <selection activeCell="F2" sqref="F2"/>
    </sheetView>
  </sheetViews>
  <sheetFormatPr defaultRowHeight="15" x14ac:dyDescent="0.25"/>
  <cols>
    <col min="1" max="1" width="35.85546875" customWidth="1"/>
    <col min="3" max="3" width="16.42578125" customWidth="1"/>
    <col min="4" max="4" width="18.140625" style="4" customWidth="1"/>
    <col min="5" max="5" width="15.7109375" style="2" customWidth="1"/>
    <col min="6" max="6" width="16.5703125" style="2" customWidth="1"/>
    <col min="7" max="7" width="19.140625" customWidth="1"/>
    <col min="8" max="8" width="9.140625" style="2"/>
  </cols>
  <sheetData>
    <row r="1" spans="1:14" x14ac:dyDescent="0.25">
      <c r="A1" s="1" t="s">
        <v>1921</v>
      </c>
      <c r="B1" s="301"/>
      <c r="D1" s="181"/>
      <c r="E1" s="308"/>
      <c r="F1" s="264"/>
      <c r="G1" s="309"/>
    </row>
    <row r="2" spans="1:14" s="3" customFormat="1" ht="18.75" x14ac:dyDescent="0.3">
      <c r="A2" s="265"/>
      <c r="B2" s="339" t="s">
        <v>101</v>
      </c>
      <c r="C2" s="474"/>
      <c r="D2" s="199"/>
      <c r="E2" s="263"/>
      <c r="F2" s="268"/>
      <c r="G2" s="262"/>
      <c r="H2" s="266"/>
    </row>
    <row r="3" spans="1:14" s="3" customFormat="1" x14ac:dyDescent="0.25">
      <c r="A3" s="265"/>
      <c r="B3" s="261" t="s">
        <v>1920</v>
      </c>
      <c r="C3" s="475"/>
      <c r="D3" s="199"/>
      <c r="E3" s="263"/>
      <c r="F3" s="268"/>
      <c r="G3" s="262"/>
      <c r="H3" s="266"/>
    </row>
    <row r="4" spans="1:14" x14ac:dyDescent="0.25">
      <c r="A4" s="1"/>
      <c r="B4" s="301"/>
      <c r="C4" s="230"/>
      <c r="D4" s="230"/>
      <c r="E4" s="306"/>
      <c r="F4" s="324" t="s">
        <v>1343</v>
      </c>
      <c r="G4" s="228"/>
    </row>
    <row r="5" spans="1:14" ht="18.75" x14ac:dyDescent="0.3">
      <c r="A5" s="267" t="s">
        <v>1</v>
      </c>
      <c r="B5" s="301"/>
      <c r="C5" s="221" t="s">
        <v>16</v>
      </c>
      <c r="D5" s="221" t="s">
        <v>16</v>
      </c>
      <c r="E5" s="307" t="s">
        <v>16</v>
      </c>
      <c r="F5" s="221" t="s">
        <v>120</v>
      </c>
      <c r="G5" s="219" t="s">
        <v>1457</v>
      </c>
    </row>
    <row r="6" spans="1:14" x14ac:dyDescent="0.25">
      <c r="A6" s="1"/>
      <c r="B6" s="301"/>
      <c r="C6" s="221" t="s">
        <v>1531</v>
      </c>
      <c r="D6" s="221" t="s">
        <v>121</v>
      </c>
      <c r="E6" s="307" t="s">
        <v>17</v>
      </c>
      <c r="F6" s="221" t="s">
        <v>17</v>
      </c>
      <c r="G6" s="219" t="s">
        <v>19</v>
      </c>
    </row>
    <row r="7" spans="1:14" x14ac:dyDescent="0.25">
      <c r="A7" s="1"/>
      <c r="B7" s="301"/>
      <c r="D7" s="181"/>
      <c r="E7" s="314"/>
      <c r="F7" s="180"/>
      <c r="G7" s="309"/>
    </row>
    <row r="8" spans="1:14" x14ac:dyDescent="0.25">
      <c r="A8" s="1" t="s">
        <v>115</v>
      </c>
      <c r="B8" s="301"/>
      <c r="C8" s="4"/>
      <c r="D8" s="181"/>
      <c r="E8" s="314">
        <f>G34</f>
        <v>-525</v>
      </c>
      <c r="F8" s="180"/>
      <c r="G8" s="309"/>
    </row>
    <row r="9" spans="1:14" x14ac:dyDescent="0.25">
      <c r="A9" s="1" t="s">
        <v>87</v>
      </c>
      <c r="B9" s="301">
        <v>4011</v>
      </c>
      <c r="C9" s="4">
        <v>95000</v>
      </c>
      <c r="D9" s="181">
        <v>95000</v>
      </c>
      <c r="E9" s="314">
        <v>97000</v>
      </c>
      <c r="F9" s="180">
        <v>97063</v>
      </c>
      <c r="G9" s="319">
        <v>97000</v>
      </c>
      <c r="I9" t="s">
        <v>1483</v>
      </c>
    </row>
    <row r="10" spans="1:14" x14ac:dyDescent="0.25">
      <c r="A10" s="1" t="s">
        <v>88</v>
      </c>
      <c r="B10" s="302" t="s">
        <v>1480</v>
      </c>
      <c r="C10" s="476">
        <v>70000</v>
      </c>
      <c r="D10" s="189">
        <v>71500</v>
      </c>
      <c r="E10" s="314">
        <v>59000</v>
      </c>
      <c r="F10" s="323">
        <v>71777</v>
      </c>
      <c r="G10" s="319">
        <v>58000</v>
      </c>
      <c r="J10">
        <v>4015</v>
      </c>
      <c r="K10">
        <v>4016</v>
      </c>
      <c r="L10">
        <v>4017</v>
      </c>
      <c r="M10">
        <v>4018</v>
      </c>
      <c r="N10">
        <v>4019</v>
      </c>
    </row>
    <row r="11" spans="1:14" x14ac:dyDescent="0.25">
      <c r="A11" s="1" t="s">
        <v>92</v>
      </c>
      <c r="B11" s="301">
        <v>4033</v>
      </c>
      <c r="C11" s="4">
        <v>3000</v>
      </c>
      <c r="D11" s="181">
        <v>3000</v>
      </c>
      <c r="E11" s="314">
        <v>2500</v>
      </c>
      <c r="F11" s="180">
        <f>ROUND(6265*2/3,0)</f>
        <v>4177</v>
      </c>
      <c r="G11" s="319">
        <v>2500</v>
      </c>
      <c r="I11">
        <v>6265</v>
      </c>
      <c r="J11" t="s">
        <v>1481</v>
      </c>
      <c r="K11" t="s">
        <v>1482</v>
      </c>
      <c r="M11" t="s">
        <v>1484</v>
      </c>
    </row>
    <row r="12" spans="1:14" x14ac:dyDescent="0.25">
      <c r="A12" s="1" t="s">
        <v>102</v>
      </c>
      <c r="B12" s="301">
        <v>4021</v>
      </c>
      <c r="C12" s="4">
        <v>1000</v>
      </c>
      <c r="D12" s="181">
        <v>750</v>
      </c>
      <c r="E12" s="314">
        <v>1000</v>
      </c>
      <c r="F12" s="180">
        <v>723</v>
      </c>
      <c r="G12" s="319">
        <v>0</v>
      </c>
    </row>
    <row r="13" spans="1:14" x14ac:dyDescent="0.25">
      <c r="A13" s="1" t="s">
        <v>91</v>
      </c>
      <c r="B13" s="301"/>
      <c r="C13" s="4">
        <v>0</v>
      </c>
      <c r="D13" s="189"/>
      <c r="E13" s="315">
        <v>0</v>
      </c>
      <c r="F13" s="180"/>
      <c r="G13" s="320">
        <v>0</v>
      </c>
    </row>
    <row r="14" spans="1:14" x14ac:dyDescent="0.25">
      <c r="A14" s="1"/>
      <c r="B14" s="301"/>
      <c r="C14" s="4"/>
      <c r="D14" s="181"/>
      <c r="E14" s="299"/>
      <c r="F14" s="180"/>
      <c r="G14" s="319"/>
    </row>
    <row r="15" spans="1:14" x14ac:dyDescent="0.25">
      <c r="A15" s="1"/>
      <c r="B15" s="301"/>
      <c r="C15" s="4"/>
      <c r="D15" s="181"/>
      <c r="E15" s="299"/>
      <c r="F15" s="180"/>
      <c r="G15" s="319"/>
    </row>
    <row r="16" spans="1:14" x14ac:dyDescent="0.25">
      <c r="A16" s="265" t="s">
        <v>27</v>
      </c>
      <c r="B16" s="303"/>
      <c r="C16" s="313">
        <f>SUM(C8:C15)</f>
        <v>169000</v>
      </c>
      <c r="D16" s="313">
        <f>SUM(D8:D15)</f>
        <v>170250</v>
      </c>
      <c r="E16" s="316">
        <f>SUM(E8:E15)</f>
        <v>158975</v>
      </c>
      <c r="F16" s="313">
        <f>SUM(F8:F15)</f>
        <v>173740</v>
      </c>
      <c r="G16" s="311">
        <f>SUM(G9:G15)</f>
        <v>157500</v>
      </c>
    </row>
    <row r="17" spans="1:10" x14ac:dyDescent="0.25">
      <c r="A17" s="1"/>
      <c r="B17" s="301"/>
      <c r="C17" s="4"/>
      <c r="D17" s="181"/>
      <c r="E17" s="314"/>
      <c r="F17" s="180"/>
      <c r="G17" s="309"/>
    </row>
    <row r="18" spans="1:10" ht="18.75" x14ac:dyDescent="0.3">
      <c r="A18" s="267" t="s">
        <v>29</v>
      </c>
      <c r="B18" s="301"/>
      <c r="C18" s="4"/>
      <c r="D18" s="181"/>
      <c r="E18" s="314"/>
      <c r="F18" s="180"/>
      <c r="G18" s="309"/>
    </row>
    <row r="19" spans="1:10" x14ac:dyDescent="0.25">
      <c r="A19" s="1"/>
      <c r="B19" s="301"/>
      <c r="C19" s="4"/>
      <c r="D19" s="181"/>
      <c r="E19" s="317"/>
      <c r="F19" s="180"/>
      <c r="G19" s="319"/>
    </row>
    <row r="20" spans="1:10" x14ac:dyDescent="0.25">
      <c r="A20" t="s">
        <v>94</v>
      </c>
      <c r="B20" s="301"/>
      <c r="C20" s="4">
        <v>60000</v>
      </c>
      <c r="D20" s="181">
        <v>55000</v>
      </c>
      <c r="E20" s="314">
        <v>50900</v>
      </c>
      <c r="F20" s="180">
        <v>69275</v>
      </c>
      <c r="G20" s="319">
        <v>57625</v>
      </c>
      <c r="I20">
        <v>110000</v>
      </c>
      <c r="J20" t="s">
        <v>1494</v>
      </c>
    </row>
    <row r="21" spans="1:10" x14ac:dyDescent="0.25">
      <c r="A21" s="1" t="s">
        <v>69</v>
      </c>
      <c r="B21" s="301">
        <v>5021</v>
      </c>
      <c r="C21" s="4">
        <v>16000</v>
      </c>
      <c r="D21" s="181">
        <v>16400</v>
      </c>
      <c r="E21" s="314">
        <v>18000</v>
      </c>
      <c r="F21" s="180"/>
      <c r="G21" s="319">
        <v>18000</v>
      </c>
    </row>
    <row r="22" spans="1:10" x14ac:dyDescent="0.25">
      <c r="A22" s="1" t="s">
        <v>116</v>
      </c>
      <c r="B22" s="301"/>
      <c r="C22" s="4">
        <v>31500</v>
      </c>
      <c r="D22" s="181">
        <v>35000</v>
      </c>
      <c r="E22" s="314">
        <v>31500</v>
      </c>
      <c r="F22" s="180"/>
      <c r="G22" s="319">
        <v>31500</v>
      </c>
    </row>
    <row r="23" spans="1:10" x14ac:dyDescent="0.25">
      <c r="A23" s="1" t="s">
        <v>93</v>
      </c>
      <c r="B23" s="301"/>
      <c r="C23" s="4">
        <f>4400*12/2</f>
        <v>26400</v>
      </c>
      <c r="D23" s="181">
        <v>20700</v>
      </c>
      <c r="E23" s="314">
        <v>20700</v>
      </c>
      <c r="F23" s="180"/>
      <c r="G23" s="319">
        <v>20700</v>
      </c>
      <c r="H23"/>
    </row>
    <row r="24" spans="1:10" x14ac:dyDescent="0.25">
      <c r="A24" s="1" t="s">
        <v>43</v>
      </c>
      <c r="B24" s="301">
        <v>5001</v>
      </c>
      <c r="C24" s="4">
        <v>14000</v>
      </c>
      <c r="D24" s="181">
        <v>9000</v>
      </c>
      <c r="E24" s="314">
        <v>7500</v>
      </c>
      <c r="F24" s="180"/>
      <c r="G24" s="319">
        <v>7000</v>
      </c>
    </row>
    <row r="25" spans="1:10" x14ac:dyDescent="0.25">
      <c r="A25" s="1" t="s">
        <v>47</v>
      </c>
      <c r="B25" s="301"/>
      <c r="C25" s="4">
        <v>15000</v>
      </c>
      <c r="D25" s="181">
        <v>15000</v>
      </c>
      <c r="E25" s="314">
        <v>15000</v>
      </c>
      <c r="F25" s="180"/>
      <c r="G25" s="319">
        <v>18000</v>
      </c>
    </row>
    <row r="26" spans="1:10" x14ac:dyDescent="0.25">
      <c r="A26" s="1" t="s">
        <v>95</v>
      </c>
      <c r="B26" s="301">
        <v>5081</v>
      </c>
      <c r="C26" s="4">
        <v>2000</v>
      </c>
      <c r="D26" s="181">
        <v>2000</v>
      </c>
      <c r="E26" s="314">
        <v>2200</v>
      </c>
      <c r="F26" s="180"/>
      <c r="G26" s="319">
        <v>2200</v>
      </c>
    </row>
    <row r="27" spans="1:10" x14ac:dyDescent="0.25">
      <c r="A27" s="1" t="s">
        <v>1917</v>
      </c>
      <c r="B27" s="301"/>
      <c r="C27" s="4">
        <v>4000</v>
      </c>
      <c r="D27" s="181">
        <v>0</v>
      </c>
      <c r="E27" s="314">
        <v>0</v>
      </c>
      <c r="F27" s="180"/>
      <c r="G27" s="319">
        <v>0</v>
      </c>
    </row>
    <row r="28" spans="1:10" x14ac:dyDescent="0.25">
      <c r="A28" s="1" t="s">
        <v>44</v>
      </c>
      <c r="B28" s="301">
        <v>5061</v>
      </c>
      <c r="C28" s="4">
        <v>2500</v>
      </c>
      <c r="D28" s="181">
        <v>2100</v>
      </c>
      <c r="E28" s="314">
        <v>400</v>
      </c>
      <c r="F28" s="180"/>
      <c r="G28" s="319">
        <v>400</v>
      </c>
      <c r="I28" t="s">
        <v>1517</v>
      </c>
    </row>
    <row r="29" spans="1:10" s="3" customFormat="1" x14ac:dyDescent="0.25">
      <c r="A29" s="1" t="s">
        <v>96</v>
      </c>
      <c r="B29" s="303"/>
      <c r="C29" s="275">
        <v>3500</v>
      </c>
      <c r="D29" s="199">
        <v>3500</v>
      </c>
      <c r="E29" s="317">
        <v>3000</v>
      </c>
      <c r="F29" s="313"/>
      <c r="G29" s="321">
        <v>2500</v>
      </c>
      <c r="H29" s="266"/>
      <c r="I29" s="3" t="s">
        <v>1518</v>
      </c>
    </row>
    <row r="30" spans="1:10" x14ac:dyDescent="0.25">
      <c r="A30" s="1" t="s">
        <v>98</v>
      </c>
      <c r="B30" s="301">
        <v>5011</v>
      </c>
      <c r="C30" s="4">
        <v>200</v>
      </c>
      <c r="D30" s="181">
        <v>200</v>
      </c>
      <c r="E30" s="314">
        <v>100</v>
      </c>
      <c r="F30" s="180"/>
      <c r="G30" s="319">
        <v>100</v>
      </c>
    </row>
    <row r="31" spans="1:10" x14ac:dyDescent="0.25">
      <c r="A31" s="1"/>
      <c r="B31" s="343"/>
      <c r="C31" s="4"/>
      <c r="D31" s="233"/>
      <c r="E31" s="344"/>
      <c r="F31" s="180"/>
      <c r="G31" s="319"/>
    </row>
    <row r="32" spans="1:10" x14ac:dyDescent="0.25">
      <c r="A32" s="265" t="s">
        <v>99</v>
      </c>
      <c r="B32" s="303"/>
      <c r="C32" s="347">
        <f t="shared" ref="C32:E32" si="0">SUM(C19:C31)</f>
        <v>175100</v>
      </c>
      <c r="D32" s="347">
        <f t="shared" si="0"/>
        <v>158900</v>
      </c>
      <c r="E32" s="348">
        <f t="shared" si="0"/>
        <v>149300</v>
      </c>
      <c r="F32" s="180"/>
      <c r="G32" s="311">
        <f>SUM(G19:G31)</f>
        <v>158025</v>
      </c>
    </row>
    <row r="33" spans="1:10" x14ac:dyDescent="0.25">
      <c r="A33" s="1"/>
      <c r="B33" s="345"/>
      <c r="C33" s="4"/>
      <c r="D33" s="236"/>
      <c r="E33" s="346"/>
      <c r="F33" s="180"/>
      <c r="G33" s="309"/>
    </row>
    <row r="34" spans="1:10" x14ac:dyDescent="0.25">
      <c r="A34" s="265" t="s">
        <v>100</v>
      </c>
      <c r="B34" s="303"/>
      <c r="C34" s="327">
        <f>C16-C32</f>
        <v>-6100</v>
      </c>
      <c r="D34" s="327">
        <f>D16-D32</f>
        <v>11350</v>
      </c>
      <c r="E34" s="327">
        <f>E16-E32</f>
        <v>9675</v>
      </c>
      <c r="F34" s="180"/>
      <c r="G34" s="310">
        <f>G16-G32</f>
        <v>-525</v>
      </c>
    </row>
    <row r="35" spans="1:10" s="3" customFormat="1" x14ac:dyDescent="0.25">
      <c r="A35" s="265"/>
      <c r="B35" s="303"/>
      <c r="C35" s="275"/>
      <c r="D35" s="199"/>
      <c r="E35" s="316"/>
      <c r="F35" s="313"/>
      <c r="G35" s="322"/>
      <c r="H35" s="266"/>
    </row>
    <row r="36" spans="1:10" x14ac:dyDescent="0.25">
      <c r="A36" s="203" t="s">
        <v>373</v>
      </c>
      <c r="B36" s="304"/>
      <c r="C36" s="477"/>
      <c r="D36" s="181"/>
      <c r="E36" s="318"/>
      <c r="F36" s="181"/>
      <c r="G36" s="312"/>
      <c r="H36" s="122"/>
      <c r="I36" s="126"/>
      <c r="J36" s="126"/>
    </row>
    <row r="37" spans="1:10" x14ac:dyDescent="0.25">
      <c r="A37" s="298" t="s">
        <v>1499</v>
      </c>
      <c r="B37" s="299">
        <v>5031</v>
      </c>
      <c r="C37" s="4">
        <v>60000</v>
      </c>
      <c r="D37" s="181">
        <v>60000</v>
      </c>
      <c r="E37" s="300">
        <v>60000</v>
      </c>
      <c r="F37" s="172"/>
      <c r="G37" s="300"/>
      <c r="H37"/>
    </row>
    <row r="38" spans="1:10" x14ac:dyDescent="0.25">
      <c r="C38" s="4"/>
      <c r="D38" s="233"/>
      <c r="E38" s="4"/>
      <c r="F38" s="4"/>
      <c r="G38" s="4"/>
      <c r="H38"/>
    </row>
    <row r="39" spans="1:10" s="16" customFormat="1" x14ac:dyDescent="0.25">
      <c r="A39" s="297" t="s">
        <v>1515</v>
      </c>
      <c r="B39" s="329"/>
      <c r="C39" s="330">
        <f>C34-C37</f>
        <v>-66100</v>
      </c>
      <c r="D39" s="330">
        <f>D34-D37</f>
        <v>-48650</v>
      </c>
      <c r="E39" s="330">
        <f>E34-E37</f>
        <v>-50325</v>
      </c>
      <c r="F39" s="325"/>
      <c r="G39" s="325"/>
    </row>
    <row r="40" spans="1:10" x14ac:dyDescent="0.25">
      <c r="C40" s="4"/>
      <c r="D40" s="236"/>
      <c r="E40" s="236"/>
      <c r="F40" s="181"/>
      <c r="G40" s="181"/>
      <c r="H40"/>
    </row>
    <row r="41" spans="1:10" ht="18.75" x14ac:dyDescent="0.3">
      <c r="A41" s="240" t="s">
        <v>1301</v>
      </c>
      <c r="B41" s="304"/>
      <c r="C41" s="477"/>
      <c r="D41" s="181"/>
      <c r="E41" s="181"/>
      <c r="F41" s="181"/>
      <c r="G41" s="181"/>
      <c r="H41"/>
    </row>
    <row r="42" spans="1:10" x14ac:dyDescent="0.25">
      <c r="A42" s="179"/>
      <c r="B42" s="304"/>
      <c r="C42" s="477"/>
      <c r="D42" s="181"/>
      <c r="E42" s="181"/>
      <c r="F42" s="181"/>
      <c r="G42" s="181"/>
      <c r="H42"/>
    </row>
    <row r="43" spans="1:10" x14ac:dyDescent="0.25">
      <c r="A43" s="179" t="s">
        <v>1323</v>
      </c>
      <c r="B43" s="304"/>
      <c r="C43" s="477">
        <v>42000</v>
      </c>
      <c r="D43" s="181">
        <v>9750</v>
      </c>
      <c r="E43" s="181">
        <v>0</v>
      </c>
      <c r="F43" s="181"/>
      <c r="G43" s="181"/>
      <c r="H43"/>
    </row>
    <row r="44" spans="1:10" x14ac:dyDescent="0.25">
      <c r="A44" s="231" t="s">
        <v>381</v>
      </c>
      <c r="B44" s="331"/>
      <c r="C44" s="478"/>
      <c r="D44" s="233">
        <v>0</v>
      </c>
      <c r="E44" s="233">
        <v>0</v>
      </c>
      <c r="F44" s="181"/>
      <c r="G44" s="181"/>
      <c r="H44"/>
    </row>
    <row r="45" spans="1:10" x14ac:dyDescent="0.25">
      <c r="A45" s="349" t="s">
        <v>1279</v>
      </c>
      <c r="B45" s="350"/>
      <c r="C45" s="351">
        <f t="shared" ref="C45:E45" si="1">SUM(C43:C44)</f>
        <v>42000</v>
      </c>
      <c r="D45" s="351">
        <f t="shared" si="1"/>
        <v>9750</v>
      </c>
      <c r="E45" s="351">
        <f t="shared" si="1"/>
        <v>0</v>
      </c>
      <c r="F45" s="181"/>
      <c r="G45" s="181"/>
      <c r="H45"/>
    </row>
    <row r="46" spans="1:10" ht="15.75" thickBot="1" x14ac:dyDescent="0.3">
      <c r="A46" s="342"/>
      <c r="B46" s="333"/>
      <c r="C46" s="479"/>
      <c r="D46" s="334"/>
      <c r="E46" s="334"/>
      <c r="F46" s="181"/>
      <c r="G46" s="181"/>
      <c r="H46"/>
    </row>
    <row r="47" spans="1:10" s="16" customFormat="1" ht="15.75" thickBot="1" x14ac:dyDescent="0.3">
      <c r="A47" s="340" t="s">
        <v>380</v>
      </c>
      <c r="B47" s="341"/>
      <c r="C47" s="337">
        <f>C39-C45</f>
        <v>-108100</v>
      </c>
      <c r="D47" s="337">
        <f>D39-D45</f>
        <v>-58400</v>
      </c>
      <c r="E47" s="337">
        <f>E39-E45</f>
        <v>-50325</v>
      </c>
      <c r="F47" s="201"/>
      <c r="G47" s="201"/>
    </row>
    <row r="48" spans="1:10" x14ac:dyDescent="0.25">
      <c r="F48"/>
      <c r="H48"/>
    </row>
    <row r="49" spans="1:12" x14ac:dyDescent="0.25">
      <c r="E49" s="269"/>
      <c r="F49"/>
      <c r="H49"/>
    </row>
    <row r="50" spans="1:12" ht="21" x14ac:dyDescent="0.35">
      <c r="A50" s="41"/>
      <c r="B50" s="41"/>
      <c r="C50" s="41"/>
      <c r="D50" s="41"/>
      <c r="E50" s="100"/>
      <c r="F50" s="102" t="s">
        <v>337</v>
      </c>
      <c r="G50" s="101" t="s">
        <v>234</v>
      </c>
      <c r="H50" s="104"/>
      <c r="I50" s="249" t="s">
        <v>1464</v>
      </c>
    </row>
    <row r="51" spans="1:12" x14ac:dyDescent="0.25">
      <c r="A51" s="42" t="s">
        <v>230</v>
      </c>
      <c r="B51" s="42" t="s">
        <v>231</v>
      </c>
      <c r="C51" s="42"/>
      <c r="D51" s="42" t="s">
        <v>232</v>
      </c>
      <c r="E51" s="102"/>
      <c r="F51" s="102" t="s">
        <v>338</v>
      </c>
      <c r="G51" s="103" t="s">
        <v>227</v>
      </c>
      <c r="H51" s="100" t="s">
        <v>1510</v>
      </c>
      <c r="I51" s="249" t="s">
        <v>1465</v>
      </c>
    </row>
    <row r="52" spans="1:12" ht="21" x14ac:dyDescent="0.35">
      <c r="A52" s="41" t="s">
        <v>251</v>
      </c>
      <c r="B52" s="60"/>
      <c r="C52" s="60"/>
      <c r="D52" s="44"/>
      <c r="E52" s="69"/>
      <c r="F52" s="69"/>
      <c r="G52" s="69"/>
      <c r="H52" s="104"/>
      <c r="I52" s="42"/>
      <c r="L52">
        <f t="shared" ref="L52:L60" si="2">ROUND((-G52/1.15)+G52,0)</f>
        <v>0</v>
      </c>
    </row>
    <row r="53" spans="1:12" ht="15.75" x14ac:dyDescent="0.25">
      <c r="A53" s="43" t="s">
        <v>318</v>
      </c>
      <c r="B53" s="44" t="s">
        <v>319</v>
      </c>
      <c r="C53" s="44"/>
      <c r="D53" s="44" t="s">
        <v>323</v>
      </c>
      <c r="E53" s="69"/>
      <c r="F53" s="69">
        <f>ROUND(-G53/1.15+G53,0)</f>
        <v>2609</v>
      </c>
      <c r="G53" s="69">
        <v>20000</v>
      </c>
      <c r="H53" s="104">
        <v>20000</v>
      </c>
      <c r="I53" s="105">
        <f t="shared" ref="I53:I59" si="3">G53-H53</f>
        <v>0</v>
      </c>
      <c r="K53" t="s">
        <v>1508</v>
      </c>
      <c r="L53">
        <f t="shared" si="2"/>
        <v>2609</v>
      </c>
    </row>
    <row r="54" spans="1:12" ht="15.75" x14ac:dyDescent="0.25">
      <c r="A54" s="43" t="s">
        <v>318</v>
      </c>
      <c r="B54" s="44" t="s">
        <v>319</v>
      </c>
      <c r="C54" s="44"/>
      <c r="D54" s="44" t="s">
        <v>322</v>
      </c>
      <c r="E54" s="69"/>
      <c r="F54" s="69">
        <f t="shared" ref="F54" si="4">ROUND(-G54/1.15+G54,0)</f>
        <v>0</v>
      </c>
      <c r="G54" s="69">
        <v>0</v>
      </c>
      <c r="H54" s="104">
        <v>0</v>
      </c>
      <c r="I54" s="105">
        <f t="shared" si="3"/>
        <v>0</v>
      </c>
      <c r="K54" t="s">
        <v>1508</v>
      </c>
      <c r="L54">
        <f t="shared" si="2"/>
        <v>0</v>
      </c>
    </row>
    <row r="55" spans="1:12" ht="15.75" x14ac:dyDescent="0.25">
      <c r="A55" s="43" t="s">
        <v>318</v>
      </c>
      <c r="B55" s="44" t="s">
        <v>319</v>
      </c>
      <c r="C55" s="44"/>
      <c r="D55" s="44" t="s">
        <v>257</v>
      </c>
      <c r="E55" s="69"/>
      <c r="F55" s="69">
        <f t="shared" ref="F55:F59" si="5">ROUND(-G55/1.15+G55,0)</f>
        <v>391</v>
      </c>
      <c r="G55" s="69">
        <v>3000</v>
      </c>
      <c r="H55" s="104"/>
      <c r="I55" s="105">
        <f t="shared" si="3"/>
        <v>3000</v>
      </c>
      <c r="L55">
        <f t="shared" si="2"/>
        <v>391</v>
      </c>
    </row>
    <row r="56" spans="1:12" ht="15.75" x14ac:dyDescent="0.25">
      <c r="A56" s="43" t="s">
        <v>318</v>
      </c>
      <c r="B56" s="44" t="s">
        <v>319</v>
      </c>
      <c r="C56" s="44"/>
      <c r="D56" s="44" t="s">
        <v>258</v>
      </c>
      <c r="E56" s="69"/>
      <c r="F56" s="69">
        <f t="shared" si="5"/>
        <v>261</v>
      </c>
      <c r="G56" s="69">
        <v>2000</v>
      </c>
      <c r="H56" s="104"/>
      <c r="I56" s="105">
        <f t="shared" si="3"/>
        <v>2000</v>
      </c>
      <c r="L56">
        <f t="shared" si="2"/>
        <v>261</v>
      </c>
    </row>
    <row r="57" spans="1:12" ht="15.75" x14ac:dyDescent="0.25">
      <c r="A57" s="43" t="s">
        <v>318</v>
      </c>
      <c r="B57" s="44" t="s">
        <v>319</v>
      </c>
      <c r="C57" s="44"/>
      <c r="D57" s="44" t="s">
        <v>242</v>
      </c>
      <c r="E57" s="69"/>
      <c r="F57" s="69">
        <f t="shared" si="5"/>
        <v>261</v>
      </c>
      <c r="G57" s="69">
        <v>2000</v>
      </c>
      <c r="H57" s="104"/>
      <c r="I57" s="105">
        <f t="shared" si="3"/>
        <v>2000</v>
      </c>
      <c r="L57">
        <f t="shared" si="2"/>
        <v>261</v>
      </c>
    </row>
    <row r="58" spans="1:12" ht="15.75" x14ac:dyDescent="0.25">
      <c r="A58" s="43" t="s">
        <v>320</v>
      </c>
      <c r="B58" s="44" t="s">
        <v>321</v>
      </c>
      <c r="C58" s="44"/>
      <c r="D58" s="44" t="s">
        <v>252</v>
      </c>
      <c r="E58" s="69"/>
      <c r="F58" s="69">
        <f t="shared" si="5"/>
        <v>65</v>
      </c>
      <c r="G58" s="69">
        <v>500</v>
      </c>
      <c r="H58" s="104"/>
      <c r="I58" s="105">
        <f t="shared" si="3"/>
        <v>500</v>
      </c>
      <c r="L58">
        <f t="shared" si="2"/>
        <v>65</v>
      </c>
    </row>
    <row r="59" spans="1:12" ht="16.5" thickBot="1" x14ac:dyDescent="0.3">
      <c r="A59" s="43" t="s">
        <v>318</v>
      </c>
      <c r="B59" s="44" t="s">
        <v>319</v>
      </c>
      <c r="C59" s="44"/>
      <c r="D59" s="1" t="s">
        <v>336</v>
      </c>
      <c r="E59" s="69"/>
      <c r="F59" s="69">
        <f t="shared" si="5"/>
        <v>326</v>
      </c>
      <c r="G59" s="69">
        <v>2500</v>
      </c>
      <c r="H59" s="104">
        <v>250</v>
      </c>
      <c r="I59" s="105">
        <f t="shared" si="3"/>
        <v>2250</v>
      </c>
      <c r="K59" t="s">
        <v>1509</v>
      </c>
      <c r="L59">
        <f t="shared" si="2"/>
        <v>326</v>
      </c>
    </row>
    <row r="60" spans="1:12" ht="16.5" thickBot="1" x14ac:dyDescent="0.3">
      <c r="A60" s="62" t="s">
        <v>1461</v>
      </c>
      <c r="B60" s="63"/>
      <c r="C60" s="63"/>
      <c r="D60" s="63"/>
      <c r="E60" s="107"/>
      <c r="F60" s="107">
        <v>54848</v>
      </c>
      <c r="G60" s="107">
        <f>SUM(G53:G59)</f>
        <v>30000</v>
      </c>
      <c r="H60" s="107">
        <f>SUM(H53:H59)</f>
        <v>20250</v>
      </c>
      <c r="I60" s="107">
        <f>SUM(I53:I59)</f>
        <v>9750</v>
      </c>
      <c r="L60">
        <f t="shared" si="2"/>
        <v>3913</v>
      </c>
    </row>
    <row r="61" spans="1:12" x14ac:dyDescent="0.25">
      <c r="A61" s="3"/>
      <c r="B61" s="3"/>
      <c r="C61" s="3"/>
      <c r="E61" s="266"/>
      <c r="F61"/>
      <c r="G61" s="3"/>
      <c r="H61"/>
    </row>
    <row r="62" spans="1:12" x14ac:dyDescent="0.25">
      <c r="F62"/>
      <c r="H62"/>
    </row>
    <row r="63" spans="1:12" x14ac:dyDescent="0.25">
      <c r="A63" s="3"/>
      <c r="F63"/>
      <c r="H63"/>
    </row>
    <row r="64" spans="1:12" x14ac:dyDescent="0.25">
      <c r="F64"/>
      <c r="H64"/>
    </row>
    <row r="65" spans="1:8" x14ac:dyDescent="0.25">
      <c r="E65" s="270"/>
      <c r="F65"/>
      <c r="H65"/>
    </row>
    <row r="66" spans="1:8" x14ac:dyDescent="0.25">
      <c r="E66" s="270"/>
      <c r="F66"/>
      <c r="H66"/>
    </row>
    <row r="67" spans="1:8" x14ac:dyDescent="0.25">
      <c r="E67" s="270"/>
      <c r="F67"/>
      <c r="H67"/>
    </row>
    <row r="68" spans="1:8" x14ac:dyDescent="0.25">
      <c r="E68" s="270"/>
      <c r="F68"/>
      <c r="H68"/>
    </row>
    <row r="69" spans="1:8" x14ac:dyDescent="0.25">
      <c r="E69" s="270"/>
      <c r="F69"/>
      <c r="H69"/>
    </row>
    <row r="70" spans="1:8" x14ac:dyDescent="0.25">
      <c r="E70" s="270"/>
      <c r="F70"/>
      <c r="H70"/>
    </row>
    <row r="71" spans="1:8" x14ac:dyDescent="0.25">
      <c r="E71" s="270"/>
      <c r="F71"/>
      <c r="H71"/>
    </row>
    <row r="72" spans="1:8" x14ac:dyDescent="0.25">
      <c r="E72" s="270"/>
      <c r="F72"/>
      <c r="H72"/>
    </row>
    <row r="73" spans="1:8" x14ac:dyDescent="0.25">
      <c r="E73" s="270"/>
      <c r="F73"/>
      <c r="H73"/>
    </row>
    <row r="74" spans="1:8" x14ac:dyDescent="0.25">
      <c r="E74" s="270"/>
      <c r="F74"/>
      <c r="H74"/>
    </row>
    <row r="75" spans="1:8" x14ac:dyDescent="0.25">
      <c r="E75" s="270"/>
      <c r="F75"/>
      <c r="H75"/>
    </row>
    <row r="76" spans="1:8" x14ac:dyDescent="0.25">
      <c r="E76" s="270"/>
      <c r="F76"/>
      <c r="H76"/>
    </row>
    <row r="77" spans="1:8" x14ac:dyDescent="0.25">
      <c r="E77" s="270"/>
      <c r="F77"/>
      <c r="H77"/>
    </row>
    <row r="78" spans="1:8" x14ac:dyDescent="0.25">
      <c r="E78" s="270"/>
      <c r="F78"/>
      <c r="H78"/>
    </row>
    <row r="79" spans="1:8" x14ac:dyDescent="0.25">
      <c r="E79" s="270"/>
      <c r="F79"/>
      <c r="H79"/>
    </row>
    <row r="80" spans="1:8" x14ac:dyDescent="0.25">
      <c r="A80" s="3"/>
      <c r="B80" s="3"/>
      <c r="C80" s="3"/>
      <c r="E80" s="271"/>
      <c r="F80"/>
      <c r="G80" s="3"/>
      <c r="H80"/>
    </row>
    <row r="81" spans="1:8" x14ac:dyDescent="0.25">
      <c r="F81"/>
      <c r="H81"/>
    </row>
    <row r="82" spans="1:8" x14ac:dyDescent="0.25">
      <c r="A82" s="3"/>
      <c r="F82"/>
      <c r="H82"/>
    </row>
    <row r="83" spans="1:8" x14ac:dyDescent="0.25">
      <c r="F83"/>
      <c r="H83"/>
    </row>
    <row r="84" spans="1:8" x14ac:dyDescent="0.25">
      <c r="A84" s="3"/>
      <c r="F84"/>
      <c r="H84"/>
    </row>
    <row r="85" spans="1:8" x14ac:dyDescent="0.25">
      <c r="F85"/>
      <c r="H85"/>
    </row>
    <row r="86" spans="1:8" x14ac:dyDescent="0.25">
      <c r="F86"/>
      <c r="H86"/>
    </row>
    <row r="87" spans="1:8" x14ac:dyDescent="0.25">
      <c r="F87"/>
      <c r="H87"/>
    </row>
    <row r="88" spans="1:8" x14ac:dyDescent="0.25">
      <c r="F88"/>
      <c r="H88"/>
    </row>
    <row r="89" spans="1:8" x14ac:dyDescent="0.25">
      <c r="F89"/>
      <c r="H89"/>
    </row>
    <row r="90" spans="1:8" x14ac:dyDescent="0.25">
      <c r="E90" s="269"/>
      <c r="F90"/>
      <c r="H90"/>
    </row>
    <row r="91" spans="1:8" x14ac:dyDescent="0.25">
      <c r="F91"/>
      <c r="H91"/>
    </row>
    <row r="92" spans="1:8" x14ac:dyDescent="0.25">
      <c r="A92" s="3"/>
      <c r="B92" s="3"/>
      <c r="C92" s="3"/>
      <c r="E92" s="272"/>
      <c r="F92"/>
      <c r="G92" s="3"/>
      <c r="H92"/>
    </row>
    <row r="93" spans="1:8" x14ac:dyDescent="0.25">
      <c r="A93" s="3"/>
      <c r="B93" s="3"/>
      <c r="C93" s="3"/>
      <c r="E93" s="266"/>
      <c r="F93"/>
      <c r="G93" s="3"/>
      <c r="H93"/>
    </row>
    <row r="94" spans="1:8" x14ac:dyDescent="0.25">
      <c r="F94"/>
      <c r="H94"/>
    </row>
    <row r="95" spans="1:8" x14ac:dyDescent="0.25">
      <c r="F95"/>
      <c r="H95"/>
    </row>
    <row r="96" spans="1:8" x14ac:dyDescent="0.25">
      <c r="A96" s="3"/>
      <c r="F96"/>
      <c r="H96"/>
    </row>
    <row r="97" spans="1:8" x14ac:dyDescent="0.25">
      <c r="F97"/>
      <c r="H97"/>
    </row>
    <row r="98" spans="1:8" x14ac:dyDescent="0.25">
      <c r="F98"/>
      <c r="H98"/>
    </row>
    <row r="99" spans="1:8" x14ac:dyDescent="0.25">
      <c r="F99"/>
      <c r="H99"/>
    </row>
    <row r="100" spans="1:8" x14ac:dyDescent="0.25">
      <c r="F100"/>
      <c r="H100"/>
    </row>
    <row r="101" spans="1:8" x14ac:dyDescent="0.25">
      <c r="F101"/>
      <c r="H101"/>
    </row>
    <row r="102" spans="1:8" x14ac:dyDescent="0.25">
      <c r="E102" s="269"/>
      <c r="F102"/>
      <c r="H102"/>
    </row>
    <row r="103" spans="1:8" x14ac:dyDescent="0.25">
      <c r="F103"/>
      <c r="H103"/>
    </row>
    <row r="104" spans="1:8" x14ac:dyDescent="0.25">
      <c r="A104" s="3"/>
      <c r="B104" s="3"/>
      <c r="C104" s="3"/>
      <c r="E104" s="266"/>
      <c r="F104"/>
      <c r="G104" s="3"/>
      <c r="H104"/>
    </row>
    <row r="105" spans="1:8" x14ac:dyDescent="0.25">
      <c r="F105"/>
      <c r="H105"/>
    </row>
    <row r="106" spans="1:8" x14ac:dyDescent="0.25">
      <c r="A106" s="3"/>
      <c r="F106"/>
      <c r="H106"/>
    </row>
    <row r="107" spans="1:8" x14ac:dyDescent="0.25">
      <c r="F107"/>
      <c r="H107"/>
    </row>
    <row r="108" spans="1:8" x14ac:dyDescent="0.25">
      <c r="F108"/>
      <c r="H108"/>
    </row>
    <row r="109" spans="1:8" x14ac:dyDescent="0.25">
      <c r="F109"/>
      <c r="H109"/>
    </row>
    <row r="110" spans="1:8" x14ac:dyDescent="0.25">
      <c r="F110"/>
      <c r="H110"/>
    </row>
    <row r="111" spans="1:8" x14ac:dyDescent="0.25">
      <c r="F111"/>
      <c r="H111"/>
    </row>
    <row r="112" spans="1:8" x14ac:dyDescent="0.25">
      <c r="E112" s="269"/>
      <c r="F112"/>
      <c r="H112"/>
    </row>
    <row r="113" spans="1:8" x14ac:dyDescent="0.25">
      <c r="F113"/>
      <c r="H113"/>
    </row>
    <row r="114" spans="1:8" x14ac:dyDescent="0.25">
      <c r="A114" s="3"/>
      <c r="E114" s="266"/>
      <c r="F114"/>
      <c r="H114"/>
    </row>
    <row r="115" spans="1:8" x14ac:dyDescent="0.25">
      <c r="A115" s="3"/>
      <c r="E115" s="266"/>
      <c r="F115"/>
      <c r="H115"/>
    </row>
    <row r="116" spans="1:8" x14ac:dyDescent="0.25">
      <c r="E116" s="266"/>
      <c r="F116"/>
      <c r="H116"/>
    </row>
    <row r="117" spans="1:8" x14ac:dyDescent="0.25">
      <c r="E117" s="266"/>
      <c r="F117"/>
      <c r="H117"/>
    </row>
    <row r="118" spans="1:8" x14ac:dyDescent="0.25">
      <c r="E118" s="266"/>
      <c r="F118"/>
      <c r="H118"/>
    </row>
    <row r="119" spans="1:8" x14ac:dyDescent="0.25">
      <c r="F119"/>
      <c r="H119"/>
    </row>
    <row r="120" spans="1:8" x14ac:dyDescent="0.25">
      <c r="A120" s="3"/>
      <c r="B120" s="3"/>
      <c r="C120" s="3"/>
      <c r="E120" s="266"/>
      <c r="F120"/>
      <c r="G120" s="3"/>
      <c r="H120"/>
    </row>
    <row r="122" spans="1:8" x14ac:dyDescent="0.25">
      <c r="A122" s="3"/>
      <c r="F122"/>
      <c r="H122"/>
    </row>
    <row r="123" spans="1:8" x14ac:dyDescent="0.25">
      <c r="F123"/>
      <c r="H123"/>
    </row>
    <row r="124" spans="1:8" x14ac:dyDescent="0.25">
      <c r="E124" s="270"/>
      <c r="F124"/>
      <c r="H124"/>
    </row>
    <row r="125" spans="1:8" x14ac:dyDescent="0.25">
      <c r="E125" s="270"/>
      <c r="F125"/>
      <c r="H125"/>
    </row>
    <row r="126" spans="1:8" x14ac:dyDescent="0.25">
      <c r="E126" s="270"/>
      <c r="F126"/>
      <c r="H126"/>
    </row>
    <row r="127" spans="1:8" ht="17.25" x14ac:dyDescent="0.4">
      <c r="E127" s="273"/>
      <c r="F127"/>
      <c r="H127"/>
    </row>
    <row r="128" spans="1:8" x14ac:dyDescent="0.25">
      <c r="E128"/>
      <c r="F128"/>
      <c r="H128"/>
    </row>
    <row r="129" spans="1:8" x14ac:dyDescent="0.25">
      <c r="A129" s="3"/>
      <c r="B129" s="3"/>
      <c r="C129" s="3"/>
      <c r="E129" s="274"/>
      <c r="F129"/>
      <c r="G129" s="3"/>
      <c r="H129"/>
    </row>
  </sheetData>
  <phoneticPr fontId="8" type="noConversion"/>
  <printOptions headings="1"/>
  <pageMargins left="0.70866141732283472" right="0.70866141732283472" top="0.74803149606299213" bottom="0.74803149606299213" header="0.31496062992125984" footer="0.31496062992125984"/>
  <pageSetup scale="91" orientation="portrait" r:id="rId1"/>
  <headerFooter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305D-F5CB-4314-B058-1A570D97AEAB}">
  <dimension ref="A2:P106"/>
  <sheetViews>
    <sheetView zoomScaleNormal="100" workbookViewId="0">
      <pane xSplit="6" ySplit="6" topLeftCell="G56" activePane="bottomRight" state="frozen"/>
      <selection pane="topRight" activeCell="G1" sqref="G1"/>
      <selection pane="bottomLeft" activeCell="A7" sqref="A7"/>
      <selection pane="bottomRight" activeCell="C61" sqref="C61"/>
    </sheetView>
  </sheetViews>
  <sheetFormatPr defaultRowHeight="15" x14ac:dyDescent="0.25"/>
  <cols>
    <col min="1" max="1" width="9.7109375" customWidth="1"/>
    <col min="2" max="2" width="19.28515625" customWidth="1"/>
    <col min="3" max="3" width="49.85546875" customWidth="1"/>
    <col min="4" max="4" width="16.42578125" style="4" customWidth="1"/>
    <col min="5" max="5" width="13.7109375" style="4" customWidth="1"/>
    <col min="6" max="6" width="16.7109375" style="476" customWidth="1"/>
    <col min="7" max="7" width="14" style="97" customWidth="1"/>
    <col min="8" max="8" width="15.140625" style="4" customWidth="1"/>
    <col min="9" max="9" width="13.7109375" style="4" customWidth="1"/>
    <col min="10" max="10" width="14.28515625" style="4" customWidth="1"/>
    <col min="11" max="12" width="11.140625" style="4" customWidth="1"/>
    <col min="13" max="13" width="36.7109375" customWidth="1"/>
  </cols>
  <sheetData>
    <row r="2" spans="1:16" s="39" customFormat="1" ht="30" customHeight="1" x14ac:dyDescent="0.55000000000000004">
      <c r="C2" s="47" t="s">
        <v>85</v>
      </c>
      <c r="D2" s="498" t="s">
        <v>1948</v>
      </c>
      <c r="E2" s="98"/>
      <c r="F2" s="482"/>
      <c r="G2" s="99"/>
      <c r="H2" s="99"/>
      <c r="I2" s="99"/>
      <c r="J2" s="99"/>
      <c r="K2" s="99"/>
      <c r="L2" s="99"/>
    </row>
    <row r="3" spans="1:16" s="39" customFormat="1" ht="21" x14ac:dyDescent="0.35">
      <c r="C3" s="47" t="s">
        <v>229</v>
      </c>
      <c r="D3" s="99"/>
      <c r="E3" s="99"/>
      <c r="F3" s="482"/>
      <c r="G3" s="99"/>
      <c r="H3" s="99"/>
      <c r="I3" s="99"/>
      <c r="J3" s="99"/>
      <c r="K3" s="99"/>
      <c r="L3" s="99"/>
      <c r="O3" s="39">
        <f>192.27*53/90</f>
        <v>113.22566666666668</v>
      </c>
    </row>
    <row r="4" spans="1:16" s="39" customFormat="1" ht="21" x14ac:dyDescent="0.35">
      <c r="A4" s="40" t="s">
        <v>0</v>
      </c>
      <c r="C4" s="47" t="s">
        <v>1520</v>
      </c>
      <c r="D4" s="98"/>
      <c r="E4" s="98"/>
      <c r="F4" s="482"/>
      <c r="G4" s="99"/>
      <c r="H4" s="99"/>
      <c r="I4" s="99"/>
      <c r="J4" s="99"/>
      <c r="K4" s="99"/>
      <c r="L4" s="99"/>
    </row>
    <row r="5" spans="1:16" s="40" customFormat="1" ht="21" x14ac:dyDescent="0.35">
      <c r="A5" s="41"/>
      <c r="B5" s="41"/>
      <c r="C5" s="41"/>
      <c r="D5" s="100" t="s">
        <v>233</v>
      </c>
      <c r="E5" s="102" t="s">
        <v>337</v>
      </c>
      <c r="F5" s="101" t="s">
        <v>234</v>
      </c>
      <c r="G5" s="101" t="s">
        <v>235</v>
      </c>
      <c r="H5" s="101" t="s">
        <v>236</v>
      </c>
      <c r="I5" s="101" t="s">
        <v>237</v>
      </c>
      <c r="J5" s="101" t="s">
        <v>238</v>
      </c>
      <c r="K5" s="112" t="s">
        <v>239</v>
      </c>
      <c r="L5" s="112" t="s">
        <v>1522</v>
      </c>
      <c r="M5" s="59" t="s">
        <v>250</v>
      </c>
      <c r="N5" s="15"/>
      <c r="O5" s="15"/>
      <c r="P5" s="15"/>
    </row>
    <row r="6" spans="1:16" s="16" customFormat="1" x14ac:dyDescent="0.25">
      <c r="A6" s="42" t="s">
        <v>230</v>
      </c>
      <c r="B6" s="42" t="s">
        <v>231</v>
      </c>
      <c r="C6" s="42" t="s">
        <v>232</v>
      </c>
      <c r="D6" s="102" t="s">
        <v>339</v>
      </c>
      <c r="E6" s="102" t="s">
        <v>338</v>
      </c>
      <c r="F6" s="103" t="s">
        <v>290</v>
      </c>
      <c r="G6" s="103" t="s">
        <v>291</v>
      </c>
      <c r="H6" s="103" t="s">
        <v>292</v>
      </c>
      <c r="I6" s="103" t="s">
        <v>293</v>
      </c>
      <c r="J6" s="103" t="s">
        <v>1521</v>
      </c>
      <c r="K6" s="113" t="s">
        <v>294</v>
      </c>
      <c r="L6" s="113" t="s">
        <v>1939</v>
      </c>
      <c r="M6" s="60"/>
    </row>
    <row r="7" spans="1:16" ht="15.75" x14ac:dyDescent="0.25">
      <c r="A7" s="43"/>
      <c r="B7" s="1"/>
      <c r="C7" s="1"/>
      <c r="D7" s="104"/>
      <c r="E7" s="104"/>
      <c r="F7" s="283"/>
      <c r="G7" s="105"/>
      <c r="H7" s="104"/>
      <c r="I7" s="104"/>
      <c r="J7" s="104"/>
      <c r="K7" s="114"/>
      <c r="L7" s="114"/>
      <c r="M7" s="1"/>
    </row>
    <row r="8" spans="1:16" ht="21" x14ac:dyDescent="0.35">
      <c r="A8" s="38" t="s">
        <v>117</v>
      </c>
      <c r="B8" s="45"/>
      <c r="C8" s="45"/>
      <c r="D8" s="69"/>
      <c r="E8" s="69"/>
      <c r="F8" s="481"/>
      <c r="G8" s="70"/>
      <c r="H8" s="69"/>
      <c r="I8" s="69"/>
      <c r="J8" s="69"/>
      <c r="K8" s="115"/>
      <c r="L8" s="115"/>
      <c r="M8" s="43"/>
    </row>
    <row r="9" spans="1:16" ht="15.75" x14ac:dyDescent="0.25">
      <c r="A9" s="488"/>
      <c r="B9" s="489" t="s">
        <v>270</v>
      </c>
      <c r="C9" s="489"/>
      <c r="D9" s="490"/>
      <c r="E9" s="490"/>
      <c r="F9" s="491"/>
      <c r="G9" s="492"/>
      <c r="H9" s="490"/>
      <c r="I9" s="490"/>
      <c r="J9" s="490"/>
      <c r="K9" s="115"/>
      <c r="L9" s="115"/>
      <c r="M9" s="43"/>
    </row>
    <row r="10" spans="1:16" ht="15.75" x14ac:dyDescent="0.25">
      <c r="A10" s="43">
        <v>1635</v>
      </c>
      <c r="B10" s="44" t="s">
        <v>298</v>
      </c>
      <c r="C10" s="44" t="s">
        <v>297</v>
      </c>
      <c r="D10" s="69">
        <f>SUM(F10:J10)</f>
        <v>3500</v>
      </c>
      <c r="E10" s="69">
        <f>D10-ROUND(D10/1.15,0)</f>
        <v>457</v>
      </c>
      <c r="F10" s="481">
        <v>3500</v>
      </c>
      <c r="G10" s="70"/>
      <c r="H10" s="69"/>
      <c r="I10" s="69"/>
      <c r="J10" s="69"/>
      <c r="K10" s="115"/>
      <c r="L10" s="115">
        <v>3500</v>
      </c>
      <c r="M10" s="43"/>
    </row>
    <row r="11" spans="1:16" ht="15.75" x14ac:dyDescent="0.25">
      <c r="A11" s="43">
        <v>1655</v>
      </c>
      <c r="B11" s="44" t="s">
        <v>307</v>
      </c>
      <c r="C11" s="44" t="s">
        <v>299</v>
      </c>
      <c r="D11" s="69">
        <f t="shared" ref="D11:D77" si="0">SUM(F11:J11)</f>
        <v>4000</v>
      </c>
      <c r="E11" s="69">
        <f>D11-ROUND(D11/1.15,0)</f>
        <v>522</v>
      </c>
      <c r="F11" s="481">
        <v>800</v>
      </c>
      <c r="G11" s="70">
        <v>800</v>
      </c>
      <c r="H11" s="69">
        <v>800</v>
      </c>
      <c r="I11" s="69">
        <v>800</v>
      </c>
      <c r="J11" s="69">
        <v>800</v>
      </c>
      <c r="K11" s="115"/>
      <c r="L11" s="115"/>
      <c r="M11" s="43"/>
    </row>
    <row r="12" spans="1:16" ht="15.75" x14ac:dyDescent="0.25">
      <c r="A12" s="43"/>
      <c r="B12" s="44"/>
      <c r="C12" s="44"/>
      <c r="D12" s="69"/>
      <c r="E12" s="69"/>
      <c r="F12" s="481"/>
      <c r="G12" s="70"/>
      <c r="H12" s="69"/>
      <c r="I12" s="69"/>
      <c r="J12" s="69"/>
      <c r="K12" s="115"/>
      <c r="L12" s="115"/>
      <c r="M12" s="43"/>
      <c r="P12">
        <v>19765.79</v>
      </c>
    </row>
    <row r="13" spans="1:16" ht="15.75" x14ac:dyDescent="0.25">
      <c r="A13" s="488"/>
      <c r="B13" s="489" t="s">
        <v>271</v>
      </c>
      <c r="C13" s="489"/>
      <c r="D13" s="490"/>
      <c r="E13" s="490"/>
      <c r="F13" s="491"/>
      <c r="G13" s="492"/>
      <c r="H13" s="490"/>
      <c r="I13" s="490"/>
      <c r="J13" s="490"/>
      <c r="K13" s="115"/>
      <c r="L13" s="115"/>
      <c r="M13" s="43"/>
      <c r="P13">
        <f>P12*1.15</f>
        <v>22730.658499999998</v>
      </c>
    </row>
    <row r="14" spans="1:16" ht="15.75" x14ac:dyDescent="0.25">
      <c r="A14" s="43">
        <v>1645</v>
      </c>
      <c r="B14" s="44" t="s">
        <v>302</v>
      </c>
      <c r="C14" s="505" t="s">
        <v>228</v>
      </c>
      <c r="D14" s="69">
        <f t="shared" si="0"/>
        <v>8500</v>
      </c>
      <c r="E14" s="69">
        <f t="shared" ref="E14:E19" si="1">D14-ROUND(D14/1.15,0)</f>
        <v>1109</v>
      </c>
      <c r="F14" s="481"/>
      <c r="G14" s="70">
        <v>8500</v>
      </c>
      <c r="H14" s="69"/>
      <c r="I14" s="69"/>
      <c r="J14" s="69"/>
      <c r="K14" s="115"/>
      <c r="L14" s="115"/>
      <c r="M14" s="43" t="s">
        <v>259</v>
      </c>
    </row>
    <row r="15" spans="1:16" ht="15.75" x14ac:dyDescent="0.25">
      <c r="A15" s="43">
        <v>1664</v>
      </c>
      <c r="B15" s="44" t="s">
        <v>306</v>
      </c>
      <c r="C15" s="44" t="s">
        <v>261</v>
      </c>
      <c r="D15" s="69"/>
      <c r="E15" s="69"/>
      <c r="F15" s="481" t="s">
        <v>1512</v>
      </c>
      <c r="G15" s="296" t="s">
        <v>1512</v>
      </c>
      <c r="H15" s="296" t="s">
        <v>1512</v>
      </c>
      <c r="I15" s="296" t="s">
        <v>1512</v>
      </c>
      <c r="J15" s="296" t="s">
        <v>1512</v>
      </c>
      <c r="K15" s="115"/>
      <c r="L15" s="115"/>
      <c r="M15" s="43"/>
    </row>
    <row r="16" spans="1:16" ht="15.75" x14ac:dyDescent="0.25">
      <c r="A16" s="43">
        <v>1627</v>
      </c>
      <c r="B16" s="44" t="s">
        <v>241</v>
      </c>
      <c r="C16" s="44" t="s">
        <v>260</v>
      </c>
      <c r="D16" s="69">
        <f t="shared" si="0"/>
        <v>450000</v>
      </c>
      <c r="E16" s="69">
        <f t="shared" si="1"/>
        <v>58696</v>
      </c>
      <c r="F16" s="481"/>
      <c r="G16" s="70"/>
      <c r="H16" s="69"/>
      <c r="I16" s="69"/>
      <c r="J16" s="69">
        <v>450000</v>
      </c>
      <c r="K16" s="115"/>
      <c r="L16" s="115"/>
      <c r="M16" s="43"/>
    </row>
    <row r="17" spans="1:13" ht="15.75" x14ac:dyDescent="0.25">
      <c r="A17" s="43">
        <v>1625</v>
      </c>
      <c r="B17" s="44" t="s">
        <v>301</v>
      </c>
      <c r="C17" s="44" t="s">
        <v>296</v>
      </c>
      <c r="D17" s="69">
        <f t="shared" si="0"/>
        <v>50000</v>
      </c>
      <c r="E17" s="69">
        <f t="shared" si="1"/>
        <v>6522</v>
      </c>
      <c r="F17" s="481">
        <v>10000</v>
      </c>
      <c r="G17" s="70">
        <v>10000</v>
      </c>
      <c r="H17" s="69">
        <v>10000</v>
      </c>
      <c r="I17" s="69">
        <v>10000</v>
      </c>
      <c r="J17" s="69">
        <v>10000</v>
      </c>
      <c r="K17" s="115"/>
      <c r="L17" s="115"/>
      <c r="M17" s="43"/>
    </row>
    <row r="18" spans="1:13" ht="15.75" x14ac:dyDescent="0.25">
      <c r="A18" s="43">
        <v>1635</v>
      </c>
      <c r="B18" s="44" t="s">
        <v>306</v>
      </c>
      <c r="C18" s="44" t="s">
        <v>342</v>
      </c>
      <c r="D18" s="69">
        <f t="shared" ref="D18" si="2">SUM(F18:J18)</f>
        <v>900</v>
      </c>
      <c r="E18" s="69">
        <f t="shared" ref="E18" si="3">D18-ROUND(D18/1.15,0)</f>
        <v>117</v>
      </c>
      <c r="F18" s="481"/>
      <c r="G18" s="70">
        <v>900</v>
      </c>
      <c r="H18" s="69"/>
      <c r="I18" s="69"/>
      <c r="J18" s="69"/>
      <c r="K18" s="115"/>
      <c r="L18" s="115"/>
      <c r="M18" s="43"/>
    </row>
    <row r="19" spans="1:13" ht="15.75" x14ac:dyDescent="0.25">
      <c r="A19" s="43">
        <v>1625</v>
      </c>
      <c r="B19" s="44" t="s">
        <v>240</v>
      </c>
      <c r="C19" s="44" t="s">
        <v>1530</v>
      </c>
      <c r="D19" s="69">
        <f t="shared" si="0"/>
        <v>10000</v>
      </c>
      <c r="E19" s="69">
        <f t="shared" si="1"/>
        <v>1304</v>
      </c>
      <c r="F19" s="481">
        <v>2000</v>
      </c>
      <c r="G19" s="70">
        <v>2000</v>
      </c>
      <c r="H19" s="69"/>
      <c r="I19" s="69">
        <v>6000</v>
      </c>
      <c r="J19" s="69"/>
      <c r="K19" s="115"/>
      <c r="L19" s="115"/>
      <c r="M19" s="43"/>
    </row>
    <row r="20" spans="1:13" ht="15.75" x14ac:dyDescent="0.25">
      <c r="A20" s="43"/>
      <c r="B20" s="44"/>
      <c r="C20" s="44"/>
      <c r="D20" s="69"/>
      <c r="E20" s="69"/>
      <c r="F20" s="481"/>
      <c r="G20" s="70"/>
      <c r="H20" s="69"/>
      <c r="I20" s="69"/>
      <c r="J20" s="69"/>
      <c r="K20" s="115"/>
      <c r="L20" s="115"/>
      <c r="M20" s="43"/>
    </row>
    <row r="21" spans="1:13" ht="15.75" x14ac:dyDescent="0.25">
      <c r="A21" s="494"/>
      <c r="B21" s="495" t="s">
        <v>1458</v>
      </c>
      <c r="C21" s="496"/>
      <c r="D21" s="490"/>
      <c r="E21" s="490"/>
      <c r="F21" s="491"/>
      <c r="G21" s="492"/>
      <c r="H21" s="490"/>
      <c r="I21" s="490"/>
      <c r="J21" s="490"/>
      <c r="K21" s="115"/>
      <c r="L21" s="115"/>
      <c r="M21" s="43"/>
    </row>
    <row r="22" spans="1:13" ht="15.75" x14ac:dyDescent="0.25">
      <c r="A22" s="43"/>
      <c r="B22" s="60" t="s">
        <v>1459</v>
      </c>
      <c r="C22" s="44" t="s">
        <v>1460</v>
      </c>
      <c r="D22" s="69">
        <f t="shared" si="0"/>
        <v>15000</v>
      </c>
      <c r="E22" s="69">
        <f t="shared" ref="E22" si="4">D22-ROUND(D22/1.15,0)</f>
        <v>1957</v>
      </c>
      <c r="F22" s="481">
        <v>15000</v>
      </c>
      <c r="G22" s="70"/>
      <c r="H22" s="69"/>
      <c r="I22" s="69"/>
      <c r="J22" s="69"/>
      <c r="K22" s="115"/>
      <c r="L22" s="115">
        <v>10000</v>
      </c>
      <c r="M22" s="43"/>
    </row>
    <row r="23" spans="1:13" ht="15.75" x14ac:dyDescent="0.25">
      <c r="A23" s="43"/>
      <c r="B23" s="44"/>
      <c r="C23" s="44"/>
      <c r="D23" s="69"/>
      <c r="E23" s="69"/>
      <c r="F23" s="481"/>
      <c r="G23" s="70"/>
      <c r="H23" s="69"/>
      <c r="I23" s="69"/>
      <c r="J23" s="69"/>
      <c r="K23" s="115"/>
      <c r="L23" s="115"/>
      <c r="M23" s="43"/>
    </row>
    <row r="24" spans="1:13" ht="15.75" x14ac:dyDescent="0.25">
      <c r="A24" s="488"/>
      <c r="B24" s="489" t="s">
        <v>272</v>
      </c>
      <c r="C24" s="489"/>
      <c r="D24" s="490"/>
      <c r="E24" s="490"/>
      <c r="F24" s="491"/>
      <c r="G24" s="492"/>
      <c r="H24" s="490"/>
      <c r="I24" s="490"/>
      <c r="J24" s="490"/>
      <c r="K24" s="115"/>
      <c r="L24" s="115"/>
      <c r="M24" s="43"/>
    </row>
    <row r="25" spans="1:13" ht="15.75" x14ac:dyDescent="0.25">
      <c r="A25" s="46">
        <v>1610</v>
      </c>
      <c r="B25" s="48" t="s">
        <v>263</v>
      </c>
      <c r="C25" s="48" t="s">
        <v>262</v>
      </c>
      <c r="D25" s="69">
        <f t="shared" si="0"/>
        <v>20000</v>
      </c>
      <c r="E25" s="69">
        <f t="shared" ref="E25:E29" si="5">D25-ROUND(D25/1.15,0)</f>
        <v>2609</v>
      </c>
      <c r="F25" s="481">
        <v>20000</v>
      </c>
      <c r="G25" s="70"/>
      <c r="H25" s="69"/>
      <c r="I25" s="69"/>
      <c r="J25" s="69"/>
      <c r="K25" s="115"/>
      <c r="L25" s="115"/>
      <c r="M25" s="43" t="s">
        <v>265</v>
      </c>
    </row>
    <row r="26" spans="1:13" ht="15.75" x14ac:dyDescent="0.25">
      <c r="A26" s="46"/>
      <c r="B26" s="48"/>
      <c r="C26" s="48"/>
      <c r="D26" s="69"/>
      <c r="E26" s="69"/>
      <c r="F26" s="481"/>
      <c r="G26" s="70"/>
      <c r="H26" s="69"/>
      <c r="I26" s="69"/>
      <c r="J26" s="69"/>
      <c r="K26" s="115"/>
      <c r="L26" s="115"/>
      <c r="M26" s="43"/>
    </row>
    <row r="27" spans="1:13" ht="15.75" x14ac:dyDescent="0.25">
      <c r="A27" s="43">
        <v>1660</v>
      </c>
      <c r="B27" s="44" t="s">
        <v>303</v>
      </c>
      <c r="C27" s="44" t="s">
        <v>1910</v>
      </c>
      <c r="D27" s="69">
        <f t="shared" si="0"/>
        <v>325000</v>
      </c>
      <c r="E27" s="69">
        <f t="shared" si="5"/>
        <v>42391</v>
      </c>
      <c r="F27" s="481">
        <v>50000</v>
      </c>
      <c r="G27" s="70">
        <v>50000</v>
      </c>
      <c r="H27" s="69">
        <v>75000</v>
      </c>
      <c r="I27" s="69">
        <v>75000</v>
      </c>
      <c r="J27" s="69">
        <v>75000</v>
      </c>
      <c r="K27" s="115"/>
      <c r="L27" s="115"/>
      <c r="M27" s="43"/>
    </row>
    <row r="28" spans="1:13" ht="15.75" x14ac:dyDescent="0.25">
      <c r="A28" s="43"/>
      <c r="B28" s="44"/>
      <c r="C28" s="44" t="s">
        <v>1909</v>
      </c>
      <c r="D28" s="69">
        <f t="shared" si="0"/>
        <v>5000</v>
      </c>
      <c r="E28" s="69">
        <f t="shared" si="5"/>
        <v>652</v>
      </c>
      <c r="F28" s="481">
        <v>5000</v>
      </c>
      <c r="G28" s="70"/>
      <c r="H28" s="69"/>
      <c r="I28" s="69"/>
      <c r="J28" s="69"/>
      <c r="K28" s="115"/>
      <c r="L28" s="115"/>
      <c r="M28" s="43"/>
    </row>
    <row r="29" spans="1:13" ht="15.75" x14ac:dyDescent="0.25">
      <c r="A29" s="43">
        <v>1660</v>
      </c>
      <c r="B29" s="44" t="s">
        <v>248</v>
      </c>
      <c r="C29" s="44" t="s">
        <v>249</v>
      </c>
      <c r="D29" s="69">
        <f t="shared" si="0"/>
        <v>225000</v>
      </c>
      <c r="E29" s="69">
        <f t="shared" si="5"/>
        <v>29348</v>
      </c>
      <c r="F29" s="481"/>
      <c r="G29" s="70">
        <v>75000</v>
      </c>
      <c r="H29" s="69">
        <v>75000</v>
      </c>
      <c r="I29" s="69">
        <v>75000</v>
      </c>
      <c r="J29" s="69"/>
      <c r="K29" s="115"/>
      <c r="L29" s="115"/>
      <c r="M29" s="43"/>
    </row>
    <row r="30" spans="1:13" ht="15.75" x14ac:dyDescent="0.25">
      <c r="A30" s="46"/>
      <c r="B30" s="45"/>
      <c r="C30" s="45"/>
      <c r="D30" s="69"/>
      <c r="E30" s="69"/>
      <c r="F30" s="481"/>
      <c r="G30" s="70"/>
      <c r="H30" s="69"/>
      <c r="I30" s="69"/>
      <c r="J30" s="69"/>
      <c r="K30" s="115"/>
      <c r="L30" s="115"/>
      <c r="M30" s="43"/>
    </row>
    <row r="31" spans="1:13" ht="15.75" x14ac:dyDescent="0.25">
      <c r="A31" s="488"/>
      <c r="B31" s="489" t="s">
        <v>275</v>
      </c>
      <c r="C31" s="489"/>
      <c r="D31" s="490"/>
      <c r="E31" s="490"/>
      <c r="F31" s="491"/>
      <c r="G31" s="492"/>
      <c r="H31" s="490"/>
      <c r="I31" s="490"/>
      <c r="J31" s="490"/>
      <c r="K31" s="115"/>
      <c r="L31" s="115"/>
      <c r="M31" s="43"/>
    </row>
    <row r="32" spans="1:13" ht="15.75" x14ac:dyDescent="0.25">
      <c r="A32" s="46">
        <v>1685</v>
      </c>
      <c r="B32" s="43"/>
      <c r="C32" s="48" t="s">
        <v>277</v>
      </c>
      <c r="D32" s="69"/>
      <c r="E32" s="69"/>
      <c r="F32" s="481" t="s">
        <v>1512</v>
      </c>
      <c r="G32" s="296" t="s">
        <v>1512</v>
      </c>
      <c r="H32" s="296" t="s">
        <v>1512</v>
      </c>
      <c r="I32" s="296" t="s">
        <v>1512</v>
      </c>
      <c r="J32" s="296" t="s">
        <v>1512</v>
      </c>
      <c r="K32" s="115"/>
      <c r="L32" s="115"/>
      <c r="M32" s="43"/>
    </row>
    <row r="33" spans="1:13" ht="15.75" x14ac:dyDescent="0.25">
      <c r="A33" s="46">
        <v>1685</v>
      </c>
      <c r="B33" s="43"/>
      <c r="C33" s="48" t="s">
        <v>278</v>
      </c>
      <c r="D33" s="69"/>
      <c r="E33" s="69"/>
      <c r="F33" s="481" t="s">
        <v>1512</v>
      </c>
      <c r="G33" s="296" t="s">
        <v>1512</v>
      </c>
      <c r="H33" s="296" t="s">
        <v>1512</v>
      </c>
      <c r="I33" s="296" t="s">
        <v>1512</v>
      </c>
      <c r="J33" s="296" t="s">
        <v>1512</v>
      </c>
      <c r="K33" s="115"/>
      <c r="L33" s="115"/>
      <c r="M33" s="43"/>
    </row>
    <row r="34" spans="1:13" ht="15.75" x14ac:dyDescent="0.25">
      <c r="A34" s="46" t="s">
        <v>308</v>
      </c>
      <c r="B34" s="48" t="s">
        <v>279</v>
      </c>
      <c r="C34" s="45" t="s">
        <v>344</v>
      </c>
      <c r="D34" s="69">
        <f t="shared" si="0"/>
        <v>5000</v>
      </c>
      <c r="E34" s="69">
        <f t="shared" ref="E34:E39" si="6">D34-ROUND(D34/1.15,0)</f>
        <v>652</v>
      </c>
      <c r="F34" s="481">
        <v>5000</v>
      </c>
      <c r="G34" s="70"/>
      <c r="H34" s="69"/>
      <c r="I34" s="69"/>
      <c r="J34" s="69"/>
      <c r="K34" s="115"/>
      <c r="L34" s="115"/>
      <c r="M34" s="43"/>
    </row>
    <row r="35" spans="1:13" ht="15.75" x14ac:dyDescent="0.25">
      <c r="A35" s="46" t="s">
        <v>308</v>
      </c>
      <c r="B35" s="48" t="s">
        <v>280</v>
      </c>
      <c r="C35" s="45" t="s">
        <v>343</v>
      </c>
      <c r="D35" s="69">
        <f t="shared" si="0"/>
        <v>15000</v>
      </c>
      <c r="E35" s="69">
        <f t="shared" si="6"/>
        <v>1957</v>
      </c>
      <c r="F35" s="481">
        <v>10000</v>
      </c>
      <c r="G35" s="70">
        <v>5000</v>
      </c>
      <c r="H35" s="69"/>
      <c r="I35" s="69"/>
      <c r="J35" s="69"/>
      <c r="K35" s="115"/>
      <c r="L35" s="115"/>
      <c r="M35" s="43"/>
    </row>
    <row r="36" spans="1:13" ht="15.75" x14ac:dyDescent="0.25">
      <c r="A36" s="46" t="s">
        <v>308</v>
      </c>
      <c r="B36" s="48" t="s">
        <v>281</v>
      </c>
      <c r="C36" s="45" t="s">
        <v>282</v>
      </c>
      <c r="D36" s="69">
        <f t="shared" si="0"/>
        <v>5000</v>
      </c>
      <c r="E36" s="69">
        <f t="shared" si="6"/>
        <v>652</v>
      </c>
      <c r="F36" s="481">
        <v>4000</v>
      </c>
      <c r="G36" s="70">
        <v>1000</v>
      </c>
      <c r="H36" s="69"/>
      <c r="I36" s="69"/>
      <c r="J36" s="69"/>
      <c r="K36" s="115"/>
      <c r="L36" s="115"/>
      <c r="M36" s="43"/>
    </row>
    <row r="37" spans="1:13" ht="15.75" x14ac:dyDescent="0.25">
      <c r="A37" s="46">
        <v>1650</v>
      </c>
      <c r="B37" s="48" t="s">
        <v>283</v>
      </c>
      <c r="C37" s="45" t="s">
        <v>287</v>
      </c>
      <c r="D37" s="69">
        <f t="shared" si="0"/>
        <v>10000</v>
      </c>
      <c r="E37" s="69">
        <f t="shared" si="6"/>
        <v>1304</v>
      </c>
      <c r="F37" s="481">
        <v>2000</v>
      </c>
      <c r="G37" s="481">
        <v>2000</v>
      </c>
      <c r="H37" s="481">
        <v>2000</v>
      </c>
      <c r="I37" s="481">
        <v>2000</v>
      </c>
      <c r="J37" s="481">
        <v>2000</v>
      </c>
      <c r="K37" s="115"/>
      <c r="L37" s="115"/>
      <c r="M37" s="43"/>
    </row>
    <row r="38" spans="1:13" ht="15.75" x14ac:dyDescent="0.25">
      <c r="A38" s="43" t="s">
        <v>308</v>
      </c>
      <c r="B38" s="44" t="s">
        <v>1930</v>
      </c>
      <c r="C38" s="44" t="s">
        <v>267</v>
      </c>
      <c r="D38" s="69">
        <f t="shared" si="0"/>
        <v>12500</v>
      </c>
      <c r="E38" s="69">
        <f t="shared" si="6"/>
        <v>1630</v>
      </c>
      <c r="F38" s="481">
        <v>2500</v>
      </c>
      <c r="G38" s="70">
        <v>2500</v>
      </c>
      <c r="H38" s="69">
        <v>2500</v>
      </c>
      <c r="I38" s="69">
        <v>2500</v>
      </c>
      <c r="J38" s="69">
        <v>2500</v>
      </c>
      <c r="K38" s="115"/>
      <c r="L38" s="115"/>
      <c r="M38" s="43"/>
    </row>
    <row r="39" spans="1:13" ht="15.75" x14ac:dyDescent="0.25">
      <c r="A39" s="43"/>
      <c r="B39" s="44"/>
      <c r="C39" s="44"/>
      <c r="D39" s="69">
        <f t="shared" si="0"/>
        <v>0</v>
      </c>
      <c r="E39" s="69">
        <f t="shared" si="6"/>
        <v>0</v>
      </c>
      <c r="F39" s="481"/>
      <c r="G39" s="70"/>
      <c r="H39" s="69"/>
      <c r="I39" s="69"/>
      <c r="J39" s="69"/>
      <c r="K39" s="115"/>
      <c r="L39" s="115">
        <v>70000</v>
      </c>
      <c r="M39" s="43" t="s">
        <v>286</v>
      </c>
    </row>
    <row r="40" spans="1:13" ht="15.75" x14ac:dyDescent="0.25">
      <c r="A40" s="43" t="s">
        <v>308</v>
      </c>
      <c r="B40" s="44" t="s">
        <v>1928</v>
      </c>
      <c r="C40" s="44" t="s">
        <v>243</v>
      </c>
      <c r="D40" s="69">
        <f t="shared" ref="D40" si="7">SUM(F40:J40)</f>
        <v>25000</v>
      </c>
      <c r="E40" s="69">
        <f t="shared" ref="E40" si="8">D40-ROUND(D40/1.15,0)</f>
        <v>3261</v>
      </c>
      <c r="F40" s="481">
        <v>25000</v>
      </c>
      <c r="G40" s="296"/>
      <c r="H40" s="296"/>
      <c r="I40" s="296"/>
      <c r="J40" s="296"/>
      <c r="K40" s="115"/>
      <c r="L40" s="115">
        <v>25000</v>
      </c>
      <c r="M40" s="43"/>
    </row>
    <row r="41" spans="1:13" ht="15.75" x14ac:dyDescent="0.25">
      <c r="A41" s="43"/>
      <c r="B41" s="44" t="s">
        <v>1928</v>
      </c>
      <c r="C41" s="44" t="s">
        <v>244</v>
      </c>
      <c r="D41" s="69"/>
      <c r="E41" s="69"/>
      <c r="F41" s="481" t="s">
        <v>1512</v>
      </c>
      <c r="G41" s="296" t="s">
        <v>1512</v>
      </c>
      <c r="H41" s="296" t="s">
        <v>1512</v>
      </c>
      <c r="I41" s="296" t="s">
        <v>1512</v>
      </c>
      <c r="J41" s="296" t="s">
        <v>1512</v>
      </c>
      <c r="K41" s="115"/>
      <c r="L41" s="115"/>
      <c r="M41" s="43"/>
    </row>
    <row r="42" spans="1:13" ht="15.75" x14ac:dyDescent="0.25">
      <c r="A42" s="43">
        <v>1600</v>
      </c>
      <c r="B42" s="44" t="s">
        <v>288</v>
      </c>
      <c r="C42" s="44" t="s">
        <v>289</v>
      </c>
      <c r="D42" s="69"/>
      <c r="E42" s="69"/>
      <c r="F42" s="481" t="s">
        <v>1512</v>
      </c>
      <c r="G42" s="296" t="s">
        <v>1512</v>
      </c>
      <c r="H42" s="296" t="s">
        <v>1512</v>
      </c>
      <c r="I42" s="296" t="s">
        <v>1512</v>
      </c>
      <c r="J42" s="296" t="s">
        <v>1512</v>
      </c>
      <c r="K42" s="115"/>
      <c r="L42" s="115"/>
      <c r="M42" s="43"/>
    </row>
    <row r="43" spans="1:13" ht="15.75" x14ac:dyDescent="0.25">
      <c r="A43" s="43"/>
      <c r="B43" s="44" t="s">
        <v>1931</v>
      </c>
      <c r="C43" s="44" t="s">
        <v>1932</v>
      </c>
      <c r="D43" s="69">
        <f t="shared" ref="D43" si="9">SUM(F43:J43)</f>
        <v>15000</v>
      </c>
      <c r="E43" s="69">
        <f t="shared" ref="E43" si="10">D43-ROUND(D43/1.15,0)</f>
        <v>1957</v>
      </c>
      <c r="F43" s="481">
        <v>15000</v>
      </c>
      <c r="G43" s="296"/>
      <c r="H43" s="296"/>
      <c r="I43" s="296"/>
      <c r="J43" s="296"/>
      <c r="K43" s="115"/>
      <c r="L43" s="115">
        <v>10000</v>
      </c>
      <c r="M43" s="43" t="s">
        <v>1941</v>
      </c>
    </row>
    <row r="44" spans="1:13" ht="15.75" x14ac:dyDescent="0.25">
      <c r="A44" s="43"/>
      <c r="B44" s="44"/>
      <c r="C44" s="44"/>
      <c r="D44" s="69"/>
      <c r="E44" s="69"/>
      <c r="F44" s="481"/>
      <c r="G44" s="70"/>
      <c r="H44" s="69"/>
      <c r="I44" s="69"/>
      <c r="J44" s="69"/>
      <c r="K44" s="115"/>
      <c r="L44" s="115"/>
      <c r="M44" s="43"/>
    </row>
    <row r="45" spans="1:13" ht="15.75" x14ac:dyDescent="0.25">
      <c r="A45" s="488"/>
      <c r="B45" s="489" t="s">
        <v>274</v>
      </c>
      <c r="C45" s="489"/>
      <c r="D45" s="490"/>
      <c r="E45" s="490"/>
      <c r="F45" s="491"/>
      <c r="G45" s="492"/>
      <c r="H45" s="490"/>
      <c r="I45" s="490"/>
      <c r="J45" s="490"/>
      <c r="K45" s="490"/>
      <c r="L45" s="115"/>
      <c r="M45" s="43"/>
    </row>
    <row r="46" spans="1:13" ht="15.75" x14ac:dyDescent="0.25">
      <c r="A46" s="43"/>
      <c r="B46" s="44"/>
      <c r="C46" s="44"/>
      <c r="D46" s="69"/>
      <c r="E46" s="69"/>
      <c r="F46" s="481"/>
      <c r="G46" s="70"/>
      <c r="H46" s="69"/>
      <c r="I46" s="69"/>
      <c r="J46" s="69"/>
      <c r="K46" s="115"/>
      <c r="L46" s="115"/>
      <c r="M46" s="43"/>
    </row>
    <row r="47" spans="1:13" ht="15.75" x14ac:dyDescent="0.25">
      <c r="A47" s="43">
        <v>1650</v>
      </c>
      <c r="B47" s="44"/>
      <c r="C47" s="44"/>
      <c r="D47" s="506"/>
      <c r="E47" s="69"/>
      <c r="F47" s="481"/>
      <c r="G47" s="69"/>
      <c r="H47" s="69"/>
      <c r="I47" s="69"/>
      <c r="J47" s="69"/>
      <c r="K47" s="115"/>
      <c r="L47" s="115">
        <v>40000</v>
      </c>
      <c r="M47" s="43"/>
    </row>
    <row r="48" spans="1:13" ht="15.75" x14ac:dyDescent="0.25">
      <c r="A48" s="46"/>
      <c r="B48" s="45" t="s">
        <v>341</v>
      </c>
      <c r="C48" s="45" t="s">
        <v>1911</v>
      </c>
      <c r="D48" s="506">
        <f t="shared" si="0"/>
        <v>3000</v>
      </c>
      <c r="E48" s="69">
        <f t="shared" ref="E46:E48" si="11">D48-ROUND(D48/1.15,0)</f>
        <v>391</v>
      </c>
      <c r="F48" s="481">
        <v>3000</v>
      </c>
      <c r="G48" s="70"/>
      <c r="H48" s="69"/>
      <c r="I48" s="69"/>
      <c r="J48" s="69"/>
      <c r="K48" s="115"/>
      <c r="L48" s="115"/>
      <c r="M48" s="43"/>
    </row>
    <row r="49" spans="1:13" ht="15.75" x14ac:dyDescent="0.25">
      <c r="A49" s="46">
        <v>1650</v>
      </c>
      <c r="B49" s="44" t="s">
        <v>304</v>
      </c>
      <c r="C49" s="45" t="s">
        <v>1934</v>
      </c>
      <c r="D49" s="69">
        <f t="shared" si="0"/>
        <v>25000</v>
      </c>
      <c r="E49" s="69">
        <f t="shared" ref="E49" si="12">D49-ROUND(D49/1.15,0)</f>
        <v>3261</v>
      </c>
      <c r="F49" s="481">
        <v>5000</v>
      </c>
      <c r="G49" s="70">
        <v>5000</v>
      </c>
      <c r="H49" s="69">
        <v>5000</v>
      </c>
      <c r="I49" s="69"/>
      <c r="J49" s="69">
        <v>10000</v>
      </c>
      <c r="K49" s="115"/>
      <c r="L49" s="115"/>
      <c r="M49" s="43"/>
    </row>
    <row r="50" spans="1:13" ht="15.75" x14ac:dyDescent="0.25">
      <c r="A50" s="46"/>
      <c r="B50" s="44" t="s">
        <v>1940</v>
      </c>
      <c r="C50" s="45"/>
      <c r="D50" s="69"/>
      <c r="E50" s="69"/>
      <c r="F50" s="481"/>
      <c r="G50" s="70"/>
      <c r="H50" s="69"/>
      <c r="I50" s="69"/>
      <c r="J50" s="69"/>
      <c r="K50" s="115"/>
      <c r="L50" s="115"/>
      <c r="M50" s="43"/>
    </row>
    <row r="51" spans="1:13" ht="15.75" x14ac:dyDescent="0.25">
      <c r="A51" s="488"/>
      <c r="B51" s="489" t="s">
        <v>273</v>
      </c>
      <c r="C51" s="489"/>
      <c r="D51" s="490"/>
      <c r="E51" s="490"/>
      <c r="F51" s="491"/>
      <c r="G51" s="493"/>
      <c r="H51" s="493"/>
      <c r="I51" s="493"/>
      <c r="J51" s="493"/>
      <c r="K51" s="115"/>
      <c r="L51" s="115"/>
      <c r="M51" s="43" t="s">
        <v>276</v>
      </c>
    </row>
    <row r="52" spans="1:13" ht="15.75" x14ac:dyDescent="0.25">
      <c r="A52" s="46">
        <v>1668</v>
      </c>
      <c r="B52" s="45" t="s">
        <v>310</v>
      </c>
      <c r="C52" s="45" t="s">
        <v>264</v>
      </c>
      <c r="D52" s="69"/>
      <c r="E52" s="69"/>
      <c r="F52" s="481" t="s">
        <v>1512</v>
      </c>
      <c r="G52" s="296" t="s">
        <v>1512</v>
      </c>
      <c r="H52" s="296" t="s">
        <v>1512</v>
      </c>
      <c r="I52" s="296" t="s">
        <v>1512</v>
      </c>
      <c r="J52" s="296" t="s">
        <v>1512</v>
      </c>
      <c r="K52" s="115"/>
      <c r="L52" s="115"/>
      <c r="M52" s="43"/>
    </row>
    <row r="53" spans="1:13" ht="15.75" x14ac:dyDescent="0.25">
      <c r="A53" s="46">
        <v>1622</v>
      </c>
      <c r="B53" s="45" t="s">
        <v>300</v>
      </c>
      <c r="C53" s="45" t="s">
        <v>305</v>
      </c>
      <c r="D53" s="69">
        <f t="shared" si="0"/>
        <v>1000</v>
      </c>
      <c r="E53" s="69">
        <f t="shared" ref="E53" si="13">D53-ROUND(D53/1.15,0)</f>
        <v>130</v>
      </c>
      <c r="F53" s="481"/>
      <c r="G53" s="70">
        <v>500</v>
      </c>
      <c r="H53" s="69"/>
      <c r="I53" s="69">
        <v>500</v>
      </c>
      <c r="J53" s="69"/>
      <c r="K53" s="115"/>
      <c r="L53" s="115"/>
      <c r="M53" s="43"/>
    </row>
    <row r="54" spans="1:13" ht="16.5" thickBot="1" x14ac:dyDescent="0.3">
      <c r="A54" s="54"/>
      <c r="B54" s="49"/>
      <c r="C54" s="49"/>
      <c r="D54" s="69"/>
      <c r="E54" s="71"/>
      <c r="F54" s="483"/>
      <c r="G54" s="72"/>
      <c r="H54" s="71"/>
      <c r="I54" s="71"/>
      <c r="J54" s="71"/>
      <c r="K54" s="116"/>
      <c r="L54" s="116"/>
      <c r="M54" s="50"/>
    </row>
    <row r="55" spans="1:13" ht="16.5" thickBot="1" x14ac:dyDescent="0.3">
      <c r="A55" s="56" t="s">
        <v>311</v>
      </c>
      <c r="B55" s="57"/>
      <c r="C55" s="53"/>
      <c r="D55" s="106">
        <f t="shared" ref="D55:L55" si="14">SUM(D9:D54)</f>
        <v>1233400</v>
      </c>
      <c r="E55" s="106">
        <f t="shared" si="14"/>
        <v>160879</v>
      </c>
      <c r="F55" s="484">
        <f t="shared" si="14"/>
        <v>177800</v>
      </c>
      <c r="G55" s="106">
        <f t="shared" si="14"/>
        <v>163200</v>
      </c>
      <c r="H55" s="106">
        <f t="shared" si="14"/>
        <v>170300</v>
      </c>
      <c r="I55" s="106">
        <f t="shared" si="14"/>
        <v>171800</v>
      </c>
      <c r="J55" s="106">
        <f t="shared" si="14"/>
        <v>550300</v>
      </c>
      <c r="K55" s="106">
        <f t="shared" si="14"/>
        <v>0</v>
      </c>
      <c r="L55" s="106">
        <f t="shared" si="14"/>
        <v>158500</v>
      </c>
      <c r="M55" s="106">
        <f>F55-L55</f>
        <v>19300</v>
      </c>
    </row>
    <row r="56" spans="1:13" ht="15.75" x14ac:dyDescent="0.25">
      <c r="A56" s="55"/>
      <c r="B56" s="51"/>
      <c r="C56" s="51"/>
      <c r="D56" s="69"/>
      <c r="E56" s="108"/>
      <c r="F56" s="485"/>
      <c r="G56" s="109"/>
      <c r="H56" s="108"/>
      <c r="I56" s="108"/>
      <c r="J56" s="108"/>
      <c r="K56" s="117"/>
      <c r="L56" s="117"/>
      <c r="M56" s="52"/>
    </row>
    <row r="57" spans="1:13" ht="21" x14ac:dyDescent="0.35">
      <c r="A57" s="68" t="s">
        <v>3</v>
      </c>
      <c r="B57" s="51"/>
      <c r="C57" s="51"/>
      <c r="D57" s="69"/>
      <c r="E57" s="108"/>
      <c r="F57" s="485"/>
      <c r="G57" s="109"/>
      <c r="H57" s="108"/>
      <c r="I57" s="108"/>
      <c r="J57" s="108"/>
      <c r="K57" s="117"/>
      <c r="L57" s="117"/>
      <c r="M57" s="52"/>
    </row>
    <row r="58" spans="1:13" ht="15.75" x14ac:dyDescent="0.25">
      <c r="A58" s="488"/>
      <c r="B58" s="489" t="s">
        <v>285</v>
      </c>
      <c r="C58" s="489"/>
      <c r="D58" s="490"/>
      <c r="E58" s="490"/>
      <c r="F58" s="491"/>
      <c r="G58" s="492"/>
      <c r="H58" s="490"/>
      <c r="I58" s="490"/>
      <c r="J58" s="490"/>
      <c r="K58" s="115"/>
      <c r="L58" s="115"/>
      <c r="M58" s="43"/>
    </row>
    <row r="59" spans="1:13" ht="15.75" x14ac:dyDescent="0.25">
      <c r="A59" s="46">
        <v>1605</v>
      </c>
      <c r="B59" s="45" t="s">
        <v>266</v>
      </c>
      <c r="C59" s="45" t="s">
        <v>340</v>
      </c>
      <c r="D59" s="69">
        <f t="shared" ref="D59:D60" si="15">SUM(F59:J59)</f>
        <v>2500</v>
      </c>
      <c r="E59" s="69">
        <f t="shared" ref="E59:E60" si="16">D59-ROUND(D59/1.15,0)</f>
        <v>326</v>
      </c>
      <c r="F59" s="481"/>
      <c r="G59" s="70">
        <v>2500</v>
      </c>
      <c r="H59" s="69"/>
      <c r="I59" s="69"/>
      <c r="J59" s="69"/>
      <c r="K59" s="115"/>
      <c r="L59" s="115"/>
      <c r="M59" s="43"/>
    </row>
    <row r="60" spans="1:13" ht="15.75" x14ac:dyDescent="0.25">
      <c r="A60" s="43">
        <v>1605</v>
      </c>
      <c r="B60" s="44" t="s">
        <v>266</v>
      </c>
      <c r="C60" s="44" t="s">
        <v>1937</v>
      </c>
      <c r="D60" s="69">
        <f t="shared" si="15"/>
        <v>2500</v>
      </c>
      <c r="E60" s="69">
        <f t="shared" si="16"/>
        <v>326</v>
      </c>
      <c r="F60" s="481">
        <v>2500</v>
      </c>
      <c r="G60" s="70"/>
      <c r="H60" s="69"/>
      <c r="I60" s="69"/>
      <c r="J60" s="69"/>
      <c r="K60" s="115"/>
      <c r="L60" s="115"/>
      <c r="M60" s="43"/>
    </row>
    <row r="61" spans="1:13" ht="15.75" x14ac:dyDescent="0.25">
      <c r="A61" s="43">
        <v>1605</v>
      </c>
      <c r="B61" s="44" t="s">
        <v>266</v>
      </c>
      <c r="C61" s="44" t="s">
        <v>245</v>
      </c>
      <c r="D61" s="69">
        <f t="shared" si="0"/>
        <v>9000</v>
      </c>
      <c r="E61" s="69">
        <f t="shared" ref="E61:E62" si="17">D61-ROUND(D61/1.15,0)</f>
        <v>1174</v>
      </c>
      <c r="F61" s="481">
        <v>9000</v>
      </c>
      <c r="G61" s="70"/>
      <c r="H61" s="69"/>
      <c r="I61" s="69"/>
      <c r="J61" s="69"/>
      <c r="K61" s="115"/>
      <c r="L61" s="115">
        <v>9000</v>
      </c>
      <c r="M61" s="43"/>
    </row>
    <row r="62" spans="1:13" ht="15.75" x14ac:dyDescent="0.25">
      <c r="A62" s="43">
        <v>1605</v>
      </c>
      <c r="B62" s="44" t="s">
        <v>266</v>
      </c>
      <c r="C62" s="44" t="s">
        <v>295</v>
      </c>
      <c r="D62" s="69">
        <f t="shared" si="0"/>
        <v>425000</v>
      </c>
      <c r="E62" s="69">
        <f t="shared" si="17"/>
        <v>55435</v>
      </c>
      <c r="F62" s="481">
        <v>50000</v>
      </c>
      <c r="G62" s="70"/>
      <c r="H62" s="69"/>
      <c r="I62" s="69"/>
      <c r="J62" s="69">
        <v>375000</v>
      </c>
      <c r="K62" s="115"/>
      <c r="L62" s="115">
        <v>50000</v>
      </c>
      <c r="M62" s="43"/>
    </row>
    <row r="63" spans="1:13" ht="15.75" x14ac:dyDescent="0.25">
      <c r="A63" s="43">
        <v>1605</v>
      </c>
      <c r="B63" s="44" t="s">
        <v>266</v>
      </c>
      <c r="C63" s="44" t="s">
        <v>1462</v>
      </c>
      <c r="D63" s="69">
        <f t="shared" si="0"/>
        <v>5000</v>
      </c>
      <c r="E63" s="69">
        <f t="shared" ref="E63:E68" si="18">D63-ROUND(D63/1.15,0)</f>
        <v>652</v>
      </c>
      <c r="F63" s="483"/>
      <c r="G63" s="72">
        <v>5000</v>
      </c>
      <c r="H63" s="71"/>
      <c r="I63" s="71"/>
      <c r="J63" s="71"/>
      <c r="K63" s="116"/>
      <c r="L63" s="116"/>
      <c r="M63" s="50"/>
    </row>
    <row r="64" spans="1:13" ht="15.75" x14ac:dyDescent="0.25">
      <c r="A64" s="43">
        <v>1605</v>
      </c>
      <c r="B64" s="44" t="s">
        <v>266</v>
      </c>
      <c r="C64" s="65" t="s">
        <v>1938</v>
      </c>
      <c r="D64" s="69">
        <f t="shared" ref="D64" si="19">SUM(F64:J64)</f>
        <v>5000</v>
      </c>
      <c r="E64" s="69">
        <f t="shared" ref="E64" si="20">D64-ROUND(D64/1.15,0)</f>
        <v>652</v>
      </c>
      <c r="F64" s="483">
        <v>5000</v>
      </c>
      <c r="G64" s="72"/>
      <c r="H64" s="71"/>
      <c r="I64" s="71"/>
      <c r="J64" s="71"/>
      <c r="K64" s="118"/>
      <c r="L64" s="118"/>
      <c r="M64" s="64"/>
    </row>
    <row r="65" spans="1:13" ht="15.75" x14ac:dyDescent="0.25">
      <c r="A65" s="43">
        <v>1605</v>
      </c>
      <c r="B65" s="44" t="s">
        <v>266</v>
      </c>
      <c r="C65" s="65" t="s">
        <v>1922</v>
      </c>
      <c r="D65" s="69">
        <f t="shared" si="0"/>
        <v>4500</v>
      </c>
      <c r="E65" s="69">
        <f t="shared" si="18"/>
        <v>587</v>
      </c>
      <c r="F65" s="481">
        <v>4500</v>
      </c>
      <c r="G65" s="296"/>
      <c r="H65" s="296"/>
      <c r="I65" s="296"/>
      <c r="J65" s="296"/>
      <c r="K65" s="118"/>
      <c r="L65" s="118">
        <v>4500</v>
      </c>
      <c r="M65" s="64"/>
    </row>
    <row r="66" spans="1:13" ht="15.75" x14ac:dyDescent="0.25">
      <c r="A66" s="43">
        <v>1605</v>
      </c>
      <c r="B66" s="44" t="s">
        <v>266</v>
      </c>
      <c r="C66" s="65" t="s">
        <v>1935</v>
      </c>
      <c r="D66" s="69">
        <f t="shared" ref="D66:D67" si="21">SUM(F66:J66)</f>
        <v>25000</v>
      </c>
      <c r="E66" s="69">
        <f t="shared" ref="E66:E67" si="22">D66-ROUND(D66/1.15,0)</f>
        <v>3261</v>
      </c>
      <c r="F66" s="481"/>
      <c r="G66" s="296">
        <v>25000</v>
      </c>
      <c r="H66" s="296"/>
      <c r="I66" s="296"/>
      <c r="J66" s="296"/>
      <c r="K66" s="118"/>
      <c r="L66" s="118"/>
      <c r="M66" s="64"/>
    </row>
    <row r="67" spans="1:13" ht="15.75" x14ac:dyDescent="0.25">
      <c r="A67" s="43">
        <v>1605</v>
      </c>
      <c r="B67" s="44" t="s">
        <v>266</v>
      </c>
      <c r="C67" s="65" t="s">
        <v>1936</v>
      </c>
      <c r="D67" s="69">
        <f t="shared" si="21"/>
        <v>2500</v>
      </c>
      <c r="E67" s="69">
        <f t="shared" si="22"/>
        <v>326</v>
      </c>
      <c r="F67" s="481"/>
      <c r="G67" s="296">
        <v>2500</v>
      </c>
      <c r="H67" s="296"/>
      <c r="I67" s="296"/>
      <c r="J67" s="296"/>
      <c r="K67" s="118"/>
      <c r="L67" s="118"/>
      <c r="M67" s="64"/>
    </row>
    <row r="68" spans="1:13" ht="16.5" thickBot="1" x14ac:dyDescent="0.3">
      <c r="A68" s="43"/>
      <c r="B68" s="44"/>
      <c r="C68" s="65"/>
      <c r="D68" s="69"/>
      <c r="E68" s="69"/>
      <c r="F68" s="481"/>
      <c r="G68" s="296"/>
      <c r="H68" s="296"/>
      <c r="I68" s="296"/>
      <c r="J68" s="296"/>
      <c r="K68" s="118"/>
      <c r="L68" s="118">
        <v>145000</v>
      </c>
      <c r="M68" s="64"/>
    </row>
    <row r="69" spans="1:13" ht="16.5" thickBot="1" x14ac:dyDescent="0.3">
      <c r="A69" s="62" t="s">
        <v>312</v>
      </c>
      <c r="B69" s="63"/>
      <c r="C69" s="63"/>
      <c r="D69" s="107">
        <f t="shared" ref="D69:L69" si="23">SUM(D58:D68)</f>
        <v>481000</v>
      </c>
      <c r="E69" s="107">
        <f t="shared" si="23"/>
        <v>62739</v>
      </c>
      <c r="F69" s="486">
        <f t="shared" si="23"/>
        <v>71000</v>
      </c>
      <c r="G69" s="107">
        <f t="shared" si="23"/>
        <v>35000</v>
      </c>
      <c r="H69" s="107">
        <f t="shared" si="23"/>
        <v>0</v>
      </c>
      <c r="I69" s="107">
        <f t="shared" si="23"/>
        <v>0</v>
      </c>
      <c r="J69" s="107">
        <f t="shared" si="23"/>
        <v>375000</v>
      </c>
      <c r="K69" s="107">
        <f t="shared" si="23"/>
        <v>0</v>
      </c>
      <c r="L69" s="107">
        <f t="shared" si="23"/>
        <v>208500</v>
      </c>
      <c r="M69" s="107">
        <f>F69-L69</f>
        <v>-137500</v>
      </c>
    </row>
    <row r="70" spans="1:13" ht="16.5" thickBot="1" x14ac:dyDescent="0.3">
      <c r="A70" s="66"/>
      <c r="B70" s="67"/>
      <c r="C70" s="67"/>
      <c r="D70" s="110"/>
      <c r="E70" s="110"/>
      <c r="F70" s="487"/>
      <c r="G70" s="111"/>
      <c r="H70" s="110"/>
      <c r="I70" s="110"/>
      <c r="J70" s="110"/>
      <c r="K70" s="119"/>
      <c r="L70" s="119"/>
      <c r="M70" s="17"/>
    </row>
    <row r="71" spans="1:13" s="16" customFormat="1" ht="16.5" thickBot="1" x14ac:dyDescent="0.3">
      <c r="A71" s="62" t="s">
        <v>313</v>
      </c>
      <c r="B71" s="63"/>
      <c r="C71" s="63"/>
      <c r="D71" s="107">
        <f t="shared" ref="D71:L71" si="24">D55+D69</f>
        <v>1714400</v>
      </c>
      <c r="E71" s="107">
        <f t="shared" si="24"/>
        <v>223618</v>
      </c>
      <c r="F71" s="486">
        <f t="shared" si="24"/>
        <v>248800</v>
      </c>
      <c r="G71" s="107">
        <f t="shared" si="24"/>
        <v>198200</v>
      </c>
      <c r="H71" s="107">
        <f t="shared" si="24"/>
        <v>170300</v>
      </c>
      <c r="I71" s="107">
        <f t="shared" si="24"/>
        <v>171800</v>
      </c>
      <c r="J71" s="107">
        <f t="shared" si="24"/>
        <v>925300</v>
      </c>
      <c r="K71" s="107">
        <f t="shared" si="24"/>
        <v>0</v>
      </c>
      <c r="L71" s="107">
        <f t="shared" si="24"/>
        <v>367000</v>
      </c>
      <c r="M71" s="62"/>
    </row>
    <row r="72" spans="1:13" ht="21" x14ac:dyDescent="0.35">
      <c r="A72" s="58"/>
      <c r="B72" s="61"/>
      <c r="C72" s="61"/>
      <c r="D72" s="69"/>
      <c r="E72" s="108"/>
      <c r="F72" s="485"/>
      <c r="G72" s="109"/>
      <c r="H72" s="108"/>
      <c r="I72" s="108"/>
      <c r="J72" s="108"/>
      <c r="K72" s="117"/>
      <c r="L72" s="117"/>
      <c r="M72" s="52"/>
    </row>
    <row r="73" spans="1:13" ht="21" x14ac:dyDescent="0.35">
      <c r="A73" s="41" t="s">
        <v>251</v>
      </c>
      <c r="B73" s="60"/>
      <c r="C73" s="44"/>
      <c r="D73" s="69"/>
      <c r="E73" s="69"/>
      <c r="F73" s="481"/>
      <c r="G73" s="70"/>
      <c r="H73" s="69"/>
      <c r="I73" s="69"/>
      <c r="J73" s="69"/>
      <c r="K73" s="115"/>
      <c r="L73" s="115"/>
      <c r="M73" s="43"/>
    </row>
    <row r="74" spans="1:13" ht="15.75" x14ac:dyDescent="0.25">
      <c r="A74" s="43" t="s">
        <v>314</v>
      </c>
      <c r="B74" s="44" t="s">
        <v>315</v>
      </c>
      <c r="C74" s="44" t="s">
        <v>253</v>
      </c>
      <c r="D74" s="69">
        <f t="shared" si="0"/>
        <v>15000</v>
      </c>
      <c r="E74" s="69">
        <f t="shared" ref="E74:E91" si="25">D74-ROUND(D74/1.15,0)</f>
        <v>1957</v>
      </c>
      <c r="F74" s="481">
        <v>5000</v>
      </c>
      <c r="G74" s="70">
        <v>5000</v>
      </c>
      <c r="H74" s="69">
        <v>5000</v>
      </c>
      <c r="I74" s="69"/>
      <c r="J74" s="69"/>
      <c r="K74" s="115"/>
      <c r="L74" s="115"/>
      <c r="M74" s="43"/>
    </row>
    <row r="75" spans="1:13" ht="15.75" x14ac:dyDescent="0.25">
      <c r="A75" s="43" t="s">
        <v>316</v>
      </c>
      <c r="B75" s="44" t="s">
        <v>317</v>
      </c>
      <c r="C75" s="44" t="s">
        <v>118</v>
      </c>
      <c r="D75" s="69">
        <f t="shared" si="0"/>
        <v>400000</v>
      </c>
      <c r="E75" s="69">
        <f t="shared" si="25"/>
        <v>52174</v>
      </c>
      <c r="F75" s="481">
        <v>400000</v>
      </c>
      <c r="G75" s="70"/>
      <c r="H75" s="69"/>
      <c r="I75" s="69"/>
      <c r="J75" s="69"/>
      <c r="K75" s="115"/>
      <c r="L75" s="115">
        <v>360000</v>
      </c>
      <c r="M75" s="43"/>
    </row>
    <row r="76" spans="1:13" ht="15.75" x14ac:dyDescent="0.25">
      <c r="A76" s="43" t="s">
        <v>318</v>
      </c>
      <c r="B76" s="44" t="s">
        <v>319</v>
      </c>
      <c r="C76" s="44" t="s">
        <v>257</v>
      </c>
      <c r="D76" s="69">
        <f t="shared" si="0"/>
        <v>3000</v>
      </c>
      <c r="E76" s="69">
        <f t="shared" si="25"/>
        <v>391</v>
      </c>
      <c r="F76" s="481">
        <v>3000</v>
      </c>
      <c r="G76" s="70"/>
      <c r="H76" s="69"/>
      <c r="I76" s="69"/>
      <c r="J76" s="69"/>
      <c r="K76" s="115"/>
      <c r="L76" s="115"/>
      <c r="M76" s="43" t="s">
        <v>284</v>
      </c>
    </row>
    <row r="77" spans="1:13" ht="15.75" x14ac:dyDescent="0.25">
      <c r="A77" s="43" t="s">
        <v>318</v>
      </c>
      <c r="B77" s="44" t="s">
        <v>319</v>
      </c>
      <c r="C77" s="44" t="s">
        <v>258</v>
      </c>
      <c r="D77" s="69">
        <f t="shared" si="0"/>
        <v>3000</v>
      </c>
      <c r="E77" s="69">
        <f t="shared" si="25"/>
        <v>391</v>
      </c>
      <c r="F77" s="481">
        <v>3000</v>
      </c>
      <c r="G77" s="70"/>
      <c r="H77" s="69"/>
      <c r="I77" s="69"/>
      <c r="J77" s="69"/>
      <c r="K77" s="115"/>
      <c r="L77" s="115"/>
      <c r="M77" s="43"/>
    </row>
    <row r="78" spans="1:13" ht="15.75" x14ac:dyDescent="0.25">
      <c r="A78" s="43" t="s">
        <v>318</v>
      </c>
      <c r="B78" s="44" t="s">
        <v>319</v>
      </c>
      <c r="C78" s="44" t="s">
        <v>242</v>
      </c>
      <c r="D78" s="69">
        <f t="shared" ref="D78:D91" si="26">SUM(F78:J78)</f>
        <v>3000</v>
      </c>
      <c r="E78" s="69">
        <f t="shared" si="25"/>
        <v>391</v>
      </c>
      <c r="F78" s="481">
        <v>3000</v>
      </c>
      <c r="G78" s="70"/>
      <c r="H78" s="69"/>
      <c r="I78" s="69"/>
      <c r="J78" s="69"/>
      <c r="K78" s="115"/>
      <c r="L78" s="115"/>
      <c r="M78" s="43"/>
    </row>
    <row r="79" spans="1:13" ht="15.75" x14ac:dyDescent="0.25">
      <c r="A79" s="43"/>
      <c r="B79" s="44"/>
      <c r="C79" s="44" t="s">
        <v>1524</v>
      </c>
      <c r="D79" s="69"/>
      <c r="E79" s="69"/>
      <c r="F79" s="481" t="s">
        <v>1512</v>
      </c>
      <c r="G79" s="70" t="s">
        <v>1512</v>
      </c>
      <c r="H79" s="69" t="s">
        <v>1512</v>
      </c>
      <c r="I79" s="69"/>
      <c r="J79" s="69"/>
      <c r="K79" s="115"/>
      <c r="L79" s="115"/>
      <c r="M79" s="43"/>
    </row>
    <row r="80" spans="1:13" ht="15.75" x14ac:dyDescent="0.25">
      <c r="A80" s="43" t="s">
        <v>320</v>
      </c>
      <c r="B80" s="44" t="s">
        <v>321</v>
      </c>
      <c r="C80" s="44" t="s">
        <v>252</v>
      </c>
      <c r="D80" s="69">
        <f t="shared" si="26"/>
        <v>500</v>
      </c>
      <c r="E80" s="69">
        <f t="shared" si="25"/>
        <v>65</v>
      </c>
      <c r="F80" s="481">
        <v>500</v>
      </c>
      <c r="G80" s="70"/>
      <c r="H80" s="69"/>
      <c r="I80" s="69"/>
      <c r="J80" s="69"/>
      <c r="K80" s="115"/>
      <c r="L80" s="115"/>
      <c r="M80" s="43"/>
    </row>
    <row r="81" spans="1:13" ht="15.75" x14ac:dyDescent="0.25">
      <c r="A81" s="43"/>
      <c r="B81" s="44" t="s">
        <v>1949</v>
      </c>
      <c r="C81" s="1" t="s">
        <v>1525</v>
      </c>
      <c r="D81" s="69">
        <v>385000</v>
      </c>
      <c r="E81" s="69">
        <f t="shared" si="25"/>
        <v>50217</v>
      </c>
      <c r="F81" s="481">
        <v>385000</v>
      </c>
      <c r="G81" s="296"/>
      <c r="H81" s="296"/>
      <c r="I81" s="296"/>
      <c r="J81" s="296"/>
      <c r="K81" s="115"/>
      <c r="L81" s="115">
        <v>350000</v>
      </c>
      <c r="M81" s="43" t="s">
        <v>1943</v>
      </c>
    </row>
    <row r="82" spans="1:13" ht="15.75" x14ac:dyDescent="0.25">
      <c r="A82" s="43"/>
      <c r="B82" s="44" t="s">
        <v>1950</v>
      </c>
      <c r="C82" s="1" t="s">
        <v>1526</v>
      </c>
      <c r="D82" s="69">
        <f t="shared" si="26"/>
        <v>10000</v>
      </c>
      <c r="E82" s="69">
        <f t="shared" si="25"/>
        <v>1304</v>
      </c>
      <c r="F82" s="481">
        <v>10000</v>
      </c>
      <c r="G82" s="296"/>
      <c r="H82" s="296"/>
      <c r="I82" s="296"/>
      <c r="J82" s="296"/>
      <c r="K82" s="115"/>
      <c r="L82" s="115">
        <v>10000</v>
      </c>
      <c r="M82" s="43" t="s">
        <v>1942</v>
      </c>
    </row>
    <row r="83" spans="1:13" ht="15.75" x14ac:dyDescent="0.25">
      <c r="A83" s="43"/>
      <c r="B83" s="44" t="s">
        <v>1951</v>
      </c>
      <c r="C83" s="1" t="s">
        <v>1527</v>
      </c>
      <c r="D83" s="69">
        <f t="shared" si="26"/>
        <v>50000</v>
      </c>
      <c r="E83" s="69">
        <f t="shared" si="25"/>
        <v>6522</v>
      </c>
      <c r="F83" s="481">
        <v>50000</v>
      </c>
      <c r="G83" s="296"/>
      <c r="H83" s="296"/>
      <c r="I83" s="296"/>
      <c r="J83" s="296"/>
      <c r="K83" s="115"/>
      <c r="L83" s="115">
        <v>50000</v>
      </c>
      <c r="M83" s="43" t="s">
        <v>1942</v>
      </c>
    </row>
    <row r="84" spans="1:13" ht="15.75" x14ac:dyDescent="0.25">
      <c r="A84" s="43"/>
      <c r="B84" s="44" t="s">
        <v>1952</v>
      </c>
      <c r="C84" s="1" t="s">
        <v>1528</v>
      </c>
      <c r="D84" s="69">
        <f t="shared" si="26"/>
        <v>25000</v>
      </c>
      <c r="E84" s="69">
        <f t="shared" si="25"/>
        <v>3261</v>
      </c>
      <c r="F84" s="481">
        <v>25000</v>
      </c>
      <c r="G84" s="296"/>
      <c r="H84" s="296"/>
      <c r="I84" s="296"/>
      <c r="J84" s="296"/>
      <c r="K84" s="115"/>
      <c r="L84" s="115">
        <v>25000</v>
      </c>
      <c r="M84" s="43"/>
    </row>
    <row r="85" spans="1:13" ht="15.75" x14ac:dyDescent="0.25">
      <c r="A85" s="43"/>
      <c r="B85" s="44" t="s">
        <v>1953</v>
      </c>
      <c r="C85" s="1" t="s">
        <v>1529</v>
      </c>
      <c r="D85" s="69">
        <f t="shared" si="26"/>
        <v>25000</v>
      </c>
      <c r="E85" s="69">
        <f t="shared" si="25"/>
        <v>3261</v>
      </c>
      <c r="F85" s="481">
        <v>25000</v>
      </c>
      <c r="G85" s="296"/>
      <c r="H85" s="296"/>
      <c r="I85" s="296"/>
      <c r="J85" s="296"/>
      <c r="K85" s="115"/>
      <c r="L85" s="115">
        <v>25000</v>
      </c>
      <c r="M85" s="43"/>
    </row>
    <row r="86" spans="1:13" ht="15.75" x14ac:dyDescent="0.25">
      <c r="A86" s="43"/>
      <c r="B86" s="44"/>
      <c r="C86" s="1"/>
      <c r="D86" s="69"/>
      <c r="E86" s="69"/>
      <c r="F86" s="481"/>
      <c r="G86" s="296"/>
      <c r="H86" s="296"/>
      <c r="I86" s="296"/>
      <c r="J86" s="296"/>
      <c r="K86" s="115"/>
      <c r="L86" s="115"/>
      <c r="M86" s="43"/>
    </row>
    <row r="87" spans="1:13" ht="15.75" x14ac:dyDescent="0.25">
      <c r="A87" s="43"/>
      <c r="B87" s="44"/>
      <c r="C87" s="1"/>
      <c r="D87" s="69"/>
      <c r="E87" s="69"/>
      <c r="F87" s="481"/>
      <c r="G87" s="296"/>
      <c r="H87" s="296"/>
      <c r="I87" s="296"/>
      <c r="J87" s="296"/>
      <c r="K87" s="115"/>
      <c r="L87" s="115"/>
      <c r="M87" s="43"/>
    </row>
    <row r="88" spans="1:13" ht="15.75" x14ac:dyDescent="0.25">
      <c r="A88" s="43"/>
      <c r="B88" s="44"/>
      <c r="C88" s="1"/>
      <c r="D88" s="69"/>
      <c r="E88" s="69"/>
      <c r="F88" s="481"/>
      <c r="G88" s="296"/>
      <c r="H88" s="296"/>
      <c r="I88" s="296"/>
      <c r="J88" s="296"/>
      <c r="K88" s="115"/>
      <c r="L88" s="115"/>
      <c r="M88" s="43"/>
    </row>
    <row r="89" spans="1:13" ht="15.75" x14ac:dyDescent="0.25">
      <c r="A89" s="43"/>
      <c r="B89" s="44" t="s">
        <v>1513</v>
      </c>
      <c r="C89" s="1" t="s">
        <v>1511</v>
      </c>
      <c r="D89" s="69">
        <f t="shared" ref="D89" si="27">SUM(F89:J89)</f>
        <v>5000</v>
      </c>
      <c r="E89" s="69">
        <f t="shared" ref="E89" si="28">D89-ROUND(D89/1.15,0)</f>
        <v>652</v>
      </c>
      <c r="F89" s="481">
        <v>1000</v>
      </c>
      <c r="G89" s="70">
        <v>1000</v>
      </c>
      <c r="H89" s="69">
        <v>1000</v>
      </c>
      <c r="I89" s="69">
        <v>1000</v>
      </c>
      <c r="J89" s="69">
        <v>1000</v>
      </c>
      <c r="K89" s="115"/>
      <c r="L89" s="115"/>
      <c r="M89" s="43"/>
    </row>
    <row r="90" spans="1:13" ht="15.75" x14ac:dyDescent="0.25">
      <c r="A90" s="43"/>
      <c r="B90" s="1" t="s">
        <v>1514</v>
      </c>
      <c r="C90" s="1" t="s">
        <v>335</v>
      </c>
      <c r="D90" s="69">
        <f t="shared" si="26"/>
        <v>3000</v>
      </c>
      <c r="E90" s="69">
        <f t="shared" si="25"/>
        <v>391</v>
      </c>
      <c r="F90" s="481">
        <v>3000</v>
      </c>
      <c r="G90" s="70"/>
      <c r="H90" s="69"/>
      <c r="I90" s="69"/>
      <c r="J90" s="69"/>
      <c r="K90" s="115"/>
      <c r="L90" s="115"/>
      <c r="M90" s="43"/>
    </row>
    <row r="91" spans="1:13" ht="16.5" thickBot="1" x14ac:dyDescent="0.3">
      <c r="A91" s="43" t="s">
        <v>318</v>
      </c>
      <c r="B91" s="44" t="s">
        <v>319</v>
      </c>
      <c r="C91" s="1" t="s">
        <v>336</v>
      </c>
      <c r="D91" s="69">
        <f t="shared" si="26"/>
        <v>3000</v>
      </c>
      <c r="E91" s="69">
        <f t="shared" si="25"/>
        <v>391</v>
      </c>
      <c r="F91" s="481">
        <v>3000</v>
      </c>
      <c r="G91" s="70"/>
      <c r="H91" s="69"/>
      <c r="I91" s="69"/>
      <c r="J91" s="69"/>
      <c r="K91" s="115"/>
      <c r="L91" s="115"/>
      <c r="M91" s="43"/>
    </row>
    <row r="92" spans="1:13" ht="16.5" thickBot="1" x14ac:dyDescent="0.3">
      <c r="A92" s="62" t="s">
        <v>1461</v>
      </c>
      <c r="B92" s="63"/>
      <c r="C92" s="63"/>
      <c r="D92" s="107">
        <f t="shared" ref="D92:L92" si="29">SUM(D74:D91)</f>
        <v>930500</v>
      </c>
      <c r="E92" s="107">
        <f t="shared" si="29"/>
        <v>121368</v>
      </c>
      <c r="F92" s="486">
        <f t="shared" si="29"/>
        <v>916500</v>
      </c>
      <c r="G92" s="107">
        <f t="shared" si="29"/>
        <v>6000</v>
      </c>
      <c r="H92" s="107">
        <f t="shared" si="29"/>
        <v>6000</v>
      </c>
      <c r="I92" s="107">
        <f t="shared" si="29"/>
        <v>1000</v>
      </c>
      <c r="J92" s="107">
        <f t="shared" si="29"/>
        <v>1000</v>
      </c>
      <c r="K92" s="107">
        <f t="shared" si="29"/>
        <v>0</v>
      </c>
      <c r="L92" s="107">
        <f t="shared" si="29"/>
        <v>820000</v>
      </c>
      <c r="M92" s="62"/>
    </row>
    <row r="93" spans="1:13" ht="16.5" thickBot="1" x14ac:dyDescent="0.3">
      <c r="A93" s="17"/>
      <c r="D93" s="110"/>
      <c r="E93" s="110"/>
      <c r="F93" s="487"/>
      <c r="G93" s="111"/>
      <c r="H93" s="110"/>
      <c r="I93" s="110"/>
      <c r="J93" s="110"/>
      <c r="K93" s="110"/>
      <c r="L93" s="110"/>
      <c r="M93" s="17"/>
    </row>
    <row r="94" spans="1:13" ht="16.5" thickBot="1" x14ac:dyDescent="0.3">
      <c r="A94" s="62" t="s">
        <v>1463</v>
      </c>
      <c r="B94" s="63"/>
      <c r="C94" s="63"/>
      <c r="D94" s="107">
        <f t="shared" ref="D94:L94" si="30">D71+D92</f>
        <v>2644900</v>
      </c>
      <c r="E94" s="107">
        <f t="shared" si="30"/>
        <v>344986</v>
      </c>
      <c r="F94" s="486">
        <f t="shared" si="30"/>
        <v>1165300</v>
      </c>
      <c r="G94" s="107">
        <f t="shared" si="30"/>
        <v>204200</v>
      </c>
      <c r="H94" s="107">
        <f t="shared" si="30"/>
        <v>176300</v>
      </c>
      <c r="I94" s="107">
        <f t="shared" si="30"/>
        <v>172800</v>
      </c>
      <c r="J94" s="107">
        <f t="shared" si="30"/>
        <v>926300</v>
      </c>
      <c r="K94" s="107">
        <f t="shared" si="30"/>
        <v>0</v>
      </c>
      <c r="L94" s="107">
        <f t="shared" si="30"/>
        <v>1187000</v>
      </c>
      <c r="M94" s="62"/>
    </row>
    <row r="95" spans="1:13" ht="15.75" x14ac:dyDescent="0.25">
      <c r="A95" s="17"/>
      <c r="D95" s="110"/>
      <c r="E95" s="110"/>
      <c r="F95" s="487"/>
      <c r="G95" s="111"/>
      <c r="H95" s="110"/>
      <c r="I95" s="110"/>
      <c r="J95" s="110"/>
      <c r="K95" s="110"/>
      <c r="L95" s="110"/>
      <c r="M95" s="17"/>
    </row>
    <row r="96" spans="1:13" ht="15.75" x14ac:dyDescent="0.25">
      <c r="C96" t="s">
        <v>246</v>
      </c>
      <c r="D96" s="110"/>
      <c r="E96" s="110"/>
      <c r="F96" s="487"/>
      <c r="G96" s="111"/>
      <c r="H96" s="110"/>
      <c r="I96" s="110"/>
      <c r="J96" s="110"/>
      <c r="K96" s="110"/>
      <c r="L96" s="110"/>
      <c r="M96" s="17"/>
    </row>
    <row r="97" spans="1:13" ht="15.75" x14ac:dyDescent="0.25">
      <c r="C97" t="s">
        <v>247</v>
      </c>
      <c r="D97" s="110"/>
      <c r="E97" s="110"/>
      <c r="F97" s="487"/>
      <c r="G97" s="111"/>
      <c r="H97" s="110"/>
      <c r="I97" s="110"/>
      <c r="J97" s="110"/>
      <c r="K97" s="110"/>
      <c r="L97" s="110"/>
      <c r="M97" s="17"/>
    </row>
    <row r="98" spans="1:13" ht="15.75" x14ac:dyDescent="0.25">
      <c r="D98" s="110"/>
      <c r="E98" s="110"/>
      <c r="F98" s="487"/>
      <c r="G98" s="111"/>
      <c r="H98" s="110"/>
      <c r="I98" s="110"/>
      <c r="J98" s="110"/>
      <c r="K98" s="110"/>
      <c r="L98" s="110"/>
      <c r="M98" s="17"/>
    </row>
    <row r="99" spans="1:13" ht="15.75" x14ac:dyDescent="0.25">
      <c r="C99" t="s">
        <v>254</v>
      </c>
      <c r="D99" s="110"/>
      <c r="E99" s="110"/>
      <c r="F99" s="487"/>
      <c r="G99" s="111"/>
      <c r="H99" s="110"/>
      <c r="I99" s="110"/>
      <c r="J99" s="110"/>
      <c r="K99" s="110"/>
      <c r="L99" s="110"/>
      <c r="M99" s="17"/>
    </row>
    <row r="100" spans="1:13" ht="15.75" x14ac:dyDescent="0.25">
      <c r="C100" t="s">
        <v>255</v>
      </c>
      <c r="D100" s="110"/>
      <c r="E100" s="110"/>
      <c r="F100" s="487"/>
      <c r="G100" s="111"/>
      <c r="H100" s="110"/>
      <c r="I100" s="110"/>
      <c r="J100" s="110"/>
      <c r="K100" s="110"/>
      <c r="L100" s="110"/>
      <c r="M100" s="17"/>
    </row>
    <row r="101" spans="1:13" ht="15.75" x14ac:dyDescent="0.25">
      <c r="C101" t="s">
        <v>256</v>
      </c>
      <c r="D101" s="110"/>
      <c r="E101" s="110"/>
      <c r="F101" s="487"/>
      <c r="G101" s="111"/>
      <c r="H101" s="110"/>
      <c r="I101" s="110"/>
      <c r="J101" s="110"/>
      <c r="K101" s="110"/>
      <c r="L101" s="110"/>
      <c r="M101" s="17"/>
    </row>
    <row r="102" spans="1:13" ht="15.75" x14ac:dyDescent="0.25">
      <c r="D102" s="110"/>
      <c r="E102" s="110"/>
      <c r="F102" s="487"/>
      <c r="G102" s="111"/>
      <c r="H102" s="110"/>
      <c r="I102" s="110"/>
      <c r="J102" s="110"/>
      <c r="K102" s="110"/>
      <c r="L102" s="110"/>
      <c r="M102" s="17"/>
    </row>
    <row r="103" spans="1:13" ht="15.75" x14ac:dyDescent="0.25">
      <c r="A103" t="s">
        <v>1924</v>
      </c>
      <c r="D103" s="110"/>
      <c r="E103" s="110"/>
      <c r="F103" s="487"/>
      <c r="G103" s="111"/>
      <c r="H103" s="110"/>
      <c r="I103" s="110"/>
      <c r="J103" s="110"/>
      <c r="K103" s="110"/>
      <c r="L103" s="110"/>
      <c r="M103" s="17"/>
    </row>
    <row r="104" spans="1:13" ht="15.75" x14ac:dyDescent="0.25">
      <c r="A104" s="43" t="s">
        <v>318</v>
      </c>
      <c r="B104" s="44" t="s">
        <v>319</v>
      </c>
      <c r="C104" s="44" t="s">
        <v>323</v>
      </c>
      <c r="D104" s="69">
        <f>SUM(F104:J104)</f>
        <v>0</v>
      </c>
      <c r="E104" s="69">
        <f>D104-ROUND(D104/1.15,0)</f>
        <v>0</v>
      </c>
      <c r="F104" s="481"/>
      <c r="G104" s="70"/>
      <c r="H104" s="69"/>
      <c r="I104" s="69"/>
      <c r="J104" s="69"/>
      <c r="K104" s="115"/>
      <c r="L104" s="373">
        <v>20000</v>
      </c>
      <c r="M104" s="372" t="s">
        <v>1523</v>
      </c>
    </row>
    <row r="105" spans="1:13" ht="15.75" x14ac:dyDescent="0.25">
      <c r="B105" t="s">
        <v>1925</v>
      </c>
      <c r="C105" t="s">
        <v>1926</v>
      </c>
      <c r="D105" s="110"/>
      <c r="E105" s="110"/>
      <c r="F105" s="487"/>
      <c r="G105" s="111"/>
      <c r="H105" s="110"/>
      <c r="I105" s="110"/>
      <c r="J105" s="110"/>
      <c r="K105" s="110"/>
      <c r="L105" s="110"/>
      <c r="M105" s="17"/>
    </row>
    <row r="106" spans="1:13" ht="15.75" x14ac:dyDescent="0.25">
      <c r="B106" t="s">
        <v>1925</v>
      </c>
      <c r="C106" t="s">
        <v>1927</v>
      </c>
      <c r="D106" s="110"/>
      <c r="E106" s="110"/>
      <c r="F106" s="487"/>
      <c r="G106" s="111"/>
      <c r="H106" s="110"/>
      <c r="I106" s="110"/>
      <c r="J106" s="110"/>
      <c r="K106" s="110"/>
      <c r="L106" s="110"/>
      <c r="M106" s="17"/>
    </row>
  </sheetData>
  <printOptions headings="1"/>
  <pageMargins left="0.70866141732283472" right="0.70866141732283472" top="0.74803149606299213" bottom="0.74803149606299213" header="0.31496062992125984" footer="0.31496062992125984"/>
  <pageSetup paperSize="5" scale="73" orientation="landscape" r:id="rId1"/>
  <headerFooter>
    <oddFooter>&amp;L&amp;F</oddFooter>
  </headerFooter>
  <rowBreaks count="2" manualBreakCount="2">
    <brk id="43" max="11" man="1"/>
    <brk id="72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L78"/>
  <sheetViews>
    <sheetView zoomScaleNormal="100" workbookViewId="0">
      <selection activeCell="B16" sqref="B16"/>
    </sheetView>
  </sheetViews>
  <sheetFormatPr defaultRowHeight="15" x14ac:dyDescent="0.25"/>
  <cols>
    <col min="1" max="1" width="6.28515625" customWidth="1"/>
    <col min="2" max="2" width="84" customWidth="1"/>
    <col min="3" max="3" width="5.140625" customWidth="1"/>
    <col min="6" max="6" width="14.5703125" customWidth="1"/>
    <col min="7" max="8" width="14.42578125" customWidth="1"/>
    <col min="9" max="9" width="13.7109375" customWidth="1"/>
    <col min="10" max="10" width="11.28515625" customWidth="1"/>
    <col min="11" max="11" width="9.28515625" customWidth="1"/>
    <col min="12" max="12" width="10" customWidth="1"/>
  </cols>
  <sheetData>
    <row r="3" spans="1:12" ht="26.25" x14ac:dyDescent="0.4">
      <c r="B3" s="244" t="s">
        <v>1418</v>
      </c>
      <c r="D3" s="242"/>
      <c r="E3" s="242"/>
    </row>
    <row r="4" spans="1:12" ht="23.25" x14ac:dyDescent="0.35">
      <c r="B4" s="242" t="s">
        <v>1417</v>
      </c>
      <c r="E4" s="242"/>
    </row>
    <row r="5" spans="1:12" x14ac:dyDescent="0.25">
      <c r="A5" s="243" t="s">
        <v>1419</v>
      </c>
    </row>
    <row r="6" spans="1:12" x14ac:dyDescent="0.25">
      <c r="A6" s="243"/>
    </row>
    <row r="7" spans="1:12" ht="18.75" x14ac:dyDescent="0.3">
      <c r="A7" s="246" t="s">
        <v>1423</v>
      </c>
      <c r="F7" s="259" t="s">
        <v>1478</v>
      </c>
    </row>
    <row r="8" spans="1:12" x14ac:dyDescent="0.25">
      <c r="B8" s="247" t="s">
        <v>1420</v>
      </c>
      <c r="F8" s="77" t="s">
        <v>1443</v>
      </c>
      <c r="G8" s="77" t="s">
        <v>1444</v>
      </c>
      <c r="H8" s="77" t="s">
        <v>1443</v>
      </c>
      <c r="I8" s="77" t="s">
        <v>1477</v>
      </c>
      <c r="J8" s="77" t="s">
        <v>1454</v>
      </c>
      <c r="K8" s="77" t="s">
        <v>1444</v>
      </c>
      <c r="L8" s="77"/>
    </row>
    <row r="9" spans="1:12" x14ac:dyDescent="0.25">
      <c r="B9" s="245" t="s">
        <v>1421</v>
      </c>
      <c r="F9" s="77" t="s">
        <v>1476</v>
      </c>
      <c r="G9" s="77" t="s">
        <v>1476</v>
      </c>
      <c r="H9" s="77" t="s">
        <v>1475</v>
      </c>
      <c r="I9" s="77" t="s">
        <v>1455</v>
      </c>
      <c r="J9" s="77" t="s">
        <v>1455</v>
      </c>
      <c r="K9" s="77" t="s">
        <v>1455</v>
      </c>
      <c r="L9" s="77" t="s">
        <v>1456</v>
      </c>
    </row>
    <row r="10" spans="1:12" x14ac:dyDescent="0.25">
      <c r="A10" s="3"/>
      <c r="B10" s="245" t="s">
        <v>1422</v>
      </c>
      <c r="F10" s="257">
        <v>17488429</v>
      </c>
      <c r="G10" s="257">
        <v>25238968</v>
      </c>
      <c r="H10" s="257">
        <v>1.33</v>
      </c>
      <c r="I10" s="257">
        <v>0.5</v>
      </c>
      <c r="J10" s="104">
        <f>F10*H10/100</f>
        <v>232596.10570000001</v>
      </c>
      <c r="K10" s="104">
        <f>G10*I10/100</f>
        <v>126194.84</v>
      </c>
      <c r="L10" s="104">
        <f>J10+K10</f>
        <v>358790.94570000004</v>
      </c>
    </row>
    <row r="11" spans="1:12" x14ac:dyDescent="0.25">
      <c r="A11" s="3"/>
      <c r="B11" s="245" t="s">
        <v>1424</v>
      </c>
      <c r="F11" s="257">
        <v>4674100</v>
      </c>
      <c r="G11" s="257">
        <v>10842000</v>
      </c>
      <c r="H11" s="257">
        <v>1.33</v>
      </c>
      <c r="I11" s="257">
        <v>0.5</v>
      </c>
      <c r="J11" s="104">
        <f t="shared" ref="J11:K12" si="0">F11*H11/100</f>
        <v>62165.53</v>
      </c>
      <c r="K11" s="104">
        <f t="shared" si="0"/>
        <v>54210</v>
      </c>
      <c r="L11" s="104">
        <f t="shared" ref="L11:L13" si="1">J11+K11</f>
        <v>116375.53</v>
      </c>
    </row>
    <row r="12" spans="1:12" x14ac:dyDescent="0.25">
      <c r="A12" s="3"/>
      <c r="B12" s="245" t="s">
        <v>1425</v>
      </c>
      <c r="F12" s="257"/>
      <c r="G12" s="257"/>
      <c r="H12" s="257"/>
      <c r="I12" s="257"/>
      <c r="J12" s="104">
        <f t="shared" si="0"/>
        <v>0</v>
      </c>
      <c r="K12" s="104">
        <f t="shared" si="0"/>
        <v>0</v>
      </c>
      <c r="L12" s="104">
        <f t="shared" si="1"/>
        <v>0</v>
      </c>
    </row>
    <row r="13" spans="1:12" x14ac:dyDescent="0.25">
      <c r="A13" s="3"/>
      <c r="B13" s="247" t="s">
        <v>1426</v>
      </c>
      <c r="F13" s="257">
        <f>F10+F11</f>
        <v>22162529</v>
      </c>
      <c r="G13" s="257">
        <f>G10+G11</f>
        <v>36080968</v>
      </c>
      <c r="H13" s="257">
        <f>SUM(F13:G13)</f>
        <v>58243497</v>
      </c>
      <c r="I13" s="257"/>
      <c r="J13" s="104">
        <f>SUM(J10:J12)</f>
        <v>294761.63569999998</v>
      </c>
      <c r="K13" s="104">
        <f>SUM(K10:K12)</f>
        <v>180404.84</v>
      </c>
      <c r="L13" s="104">
        <f t="shared" si="1"/>
        <v>475166.47569999995</v>
      </c>
    </row>
    <row r="14" spans="1:12" x14ac:dyDescent="0.25">
      <c r="A14" s="3"/>
      <c r="B14" s="247"/>
      <c r="F14" s="258"/>
      <c r="G14" s="258"/>
      <c r="H14" s="258"/>
      <c r="I14" s="258"/>
      <c r="J14" s="4"/>
      <c r="K14" s="4"/>
      <c r="L14" s="4"/>
    </row>
    <row r="15" spans="1:12" x14ac:dyDescent="0.25">
      <c r="A15" s="3"/>
      <c r="B15" s="245" t="s">
        <v>1427</v>
      </c>
      <c r="F15" s="16" t="s">
        <v>1447</v>
      </c>
      <c r="G15" s="4">
        <v>3608</v>
      </c>
      <c r="H15" s="77" t="s">
        <v>1450</v>
      </c>
      <c r="I15" s="2">
        <v>1696</v>
      </c>
    </row>
    <row r="16" spans="1:12" x14ac:dyDescent="0.25">
      <c r="A16" s="3"/>
      <c r="B16" s="245" t="s">
        <v>1428</v>
      </c>
      <c r="F16" s="16" t="s">
        <v>1448</v>
      </c>
      <c r="G16" s="4">
        <v>2216</v>
      </c>
      <c r="H16" s="77" t="s">
        <v>1451</v>
      </c>
      <c r="I16" s="2">
        <v>2881</v>
      </c>
    </row>
    <row r="17" spans="1:9" x14ac:dyDescent="0.25">
      <c r="A17" s="3"/>
      <c r="B17" s="245"/>
      <c r="F17" s="16" t="s">
        <v>1449</v>
      </c>
      <c r="G17" s="4">
        <v>5824</v>
      </c>
      <c r="H17" s="77" t="s">
        <v>1452</v>
      </c>
      <c r="I17" s="2">
        <f>SUM(I15:I16)</f>
        <v>4577</v>
      </c>
    </row>
    <row r="18" spans="1:9" x14ac:dyDescent="0.25">
      <c r="A18" s="3"/>
      <c r="B18" s="245"/>
    </row>
    <row r="19" spans="1:9" x14ac:dyDescent="0.25">
      <c r="A19" s="3" t="s">
        <v>1429</v>
      </c>
      <c r="B19" s="245"/>
    </row>
    <row r="20" spans="1:9" x14ac:dyDescent="0.25">
      <c r="A20" s="3"/>
      <c r="B20" s="245" t="s">
        <v>1430</v>
      </c>
      <c r="F20" s="16" t="s">
        <v>1453</v>
      </c>
    </row>
    <row r="21" spans="1:9" x14ac:dyDescent="0.25">
      <c r="A21" s="3"/>
      <c r="B21" s="245" t="s">
        <v>1431</v>
      </c>
    </row>
    <row r="22" spans="1:9" x14ac:dyDescent="0.25">
      <c r="A22" s="3"/>
      <c r="B22" s="245" t="s">
        <v>1432</v>
      </c>
      <c r="F22" s="16" t="s">
        <v>1445</v>
      </c>
      <c r="G22" s="248">
        <f>10000/0.47*100</f>
        <v>2127659.5744680855</v>
      </c>
    </row>
    <row r="23" spans="1:9" x14ac:dyDescent="0.25">
      <c r="A23" s="3"/>
      <c r="B23" s="245" t="s">
        <v>1433</v>
      </c>
      <c r="F23" s="16" t="s">
        <v>1446</v>
      </c>
      <c r="G23" s="248">
        <f>10000/1.37*100</f>
        <v>729927.00729927002</v>
      </c>
      <c r="I23" s="260" t="s">
        <v>1479</v>
      </c>
    </row>
    <row r="24" spans="1:9" x14ac:dyDescent="0.25">
      <c r="A24" s="3"/>
      <c r="B24" s="245" t="s">
        <v>1434</v>
      </c>
    </row>
    <row r="25" spans="1:9" x14ac:dyDescent="0.25">
      <c r="A25" s="3"/>
      <c r="B25" s="245" t="s">
        <v>1435</v>
      </c>
    </row>
    <row r="26" spans="1:9" x14ac:dyDescent="0.25">
      <c r="B26" s="245" t="s">
        <v>1436</v>
      </c>
    </row>
    <row r="27" spans="1:9" x14ac:dyDescent="0.25">
      <c r="B27" s="245" t="s">
        <v>1437</v>
      </c>
    </row>
    <row r="28" spans="1:9" x14ac:dyDescent="0.25">
      <c r="B28" s="245" t="s">
        <v>1438</v>
      </c>
    </row>
    <row r="29" spans="1:9" x14ac:dyDescent="0.25">
      <c r="B29" s="245"/>
    </row>
    <row r="30" spans="1:9" x14ac:dyDescent="0.25">
      <c r="B30" s="245"/>
    </row>
    <row r="31" spans="1:9" x14ac:dyDescent="0.25">
      <c r="B31" s="245" t="s">
        <v>1439</v>
      </c>
    </row>
    <row r="32" spans="1:9" x14ac:dyDescent="0.25">
      <c r="B32" s="245" t="s">
        <v>1440</v>
      </c>
    </row>
    <row r="33" spans="2:7" x14ac:dyDescent="0.25">
      <c r="B33" s="245" t="s">
        <v>1441</v>
      </c>
    </row>
    <row r="34" spans="2:7" x14ac:dyDescent="0.25">
      <c r="B34" s="245"/>
    </row>
    <row r="35" spans="2:7" x14ac:dyDescent="0.25">
      <c r="B35" s="245"/>
    </row>
    <row r="36" spans="2:7" x14ac:dyDescent="0.25">
      <c r="B36" s="245" t="s">
        <v>1442</v>
      </c>
    </row>
    <row r="37" spans="2:7" x14ac:dyDescent="0.25">
      <c r="B37" s="245"/>
    </row>
    <row r="38" spans="2:7" ht="15.75" x14ac:dyDescent="0.25">
      <c r="B38" s="245"/>
      <c r="E38" s="27"/>
      <c r="F38" s="27"/>
      <c r="G38" s="27"/>
    </row>
    <row r="39" spans="2:7" ht="15.75" x14ac:dyDescent="0.25">
      <c r="B39" s="245"/>
      <c r="E39" s="27"/>
      <c r="F39" s="27"/>
      <c r="G39" s="27"/>
    </row>
    <row r="40" spans="2:7" ht="15.75" x14ac:dyDescent="0.25">
      <c r="B40" s="245"/>
      <c r="E40" s="27"/>
      <c r="F40" s="27"/>
      <c r="G40" s="27"/>
    </row>
    <row r="41" spans="2:7" ht="15.75" x14ac:dyDescent="0.25">
      <c r="B41" s="245"/>
      <c r="E41" s="26"/>
      <c r="F41" s="26"/>
      <c r="G41" s="26"/>
    </row>
    <row r="42" spans="2:7" ht="15.75" x14ac:dyDescent="0.25">
      <c r="B42" s="245"/>
      <c r="E42" s="27"/>
      <c r="F42" s="27"/>
      <c r="G42" s="27"/>
    </row>
    <row r="43" spans="2:7" ht="15.75" x14ac:dyDescent="0.25">
      <c r="B43" s="245"/>
      <c r="E43" s="26"/>
      <c r="F43" s="26"/>
      <c r="G43" s="26"/>
    </row>
    <row r="44" spans="2:7" ht="15.75" x14ac:dyDescent="0.25">
      <c r="B44" s="245"/>
      <c r="E44" s="27"/>
      <c r="F44" s="27"/>
      <c r="G44" s="27"/>
    </row>
    <row r="45" spans="2:7" ht="15.75" x14ac:dyDescent="0.25">
      <c r="B45" s="245"/>
      <c r="E45" s="27"/>
      <c r="F45" s="27"/>
      <c r="G45" s="27"/>
    </row>
    <row r="46" spans="2:7" ht="15.75" x14ac:dyDescent="0.25">
      <c r="E46" s="27"/>
      <c r="F46" s="27"/>
      <c r="G46" s="27"/>
    </row>
    <row r="47" spans="2:7" ht="15.75" x14ac:dyDescent="0.25">
      <c r="E47" s="27"/>
      <c r="F47" s="27"/>
      <c r="G47" s="27"/>
    </row>
    <row r="48" spans="2:7" ht="15.75" x14ac:dyDescent="0.25">
      <c r="E48" s="27"/>
      <c r="F48" s="27"/>
      <c r="G48" s="27"/>
    </row>
    <row r="49" spans="5:7" ht="15.75" x14ac:dyDescent="0.25">
      <c r="E49" s="27"/>
      <c r="F49" s="27"/>
      <c r="G49" s="27"/>
    </row>
    <row r="50" spans="5:7" ht="15.75" x14ac:dyDescent="0.25">
      <c r="E50" s="26"/>
      <c r="F50" s="26"/>
      <c r="G50" s="26"/>
    </row>
    <row r="51" spans="5:7" ht="15.75" x14ac:dyDescent="0.25">
      <c r="E51" s="27"/>
      <c r="F51" s="27"/>
      <c r="G51" s="27"/>
    </row>
    <row r="52" spans="5:7" ht="15.75" x14ac:dyDescent="0.25">
      <c r="E52" s="27"/>
      <c r="F52" s="27"/>
      <c r="G52" s="27"/>
    </row>
    <row r="53" spans="5:7" ht="15.75" x14ac:dyDescent="0.25">
      <c r="E53" s="27"/>
      <c r="F53" s="27"/>
      <c r="G53" s="27"/>
    </row>
    <row r="54" spans="5:7" ht="15.75" x14ac:dyDescent="0.25">
      <c r="E54" s="27"/>
      <c r="F54" s="27"/>
      <c r="G54" s="27"/>
    </row>
    <row r="55" spans="5:7" ht="15.75" x14ac:dyDescent="0.25">
      <c r="E55" s="26"/>
      <c r="F55" s="26"/>
      <c r="G55" s="26"/>
    </row>
    <row r="56" spans="5:7" ht="15.75" x14ac:dyDescent="0.25">
      <c r="E56" s="27"/>
      <c r="F56" s="27"/>
      <c r="G56" s="27"/>
    </row>
    <row r="57" spans="5:7" ht="15.75" x14ac:dyDescent="0.25">
      <c r="E57" s="26"/>
      <c r="F57" s="26"/>
      <c r="G57" s="26"/>
    </row>
    <row r="58" spans="5:7" ht="15.75" x14ac:dyDescent="0.25">
      <c r="E58" s="27"/>
      <c r="F58" s="27"/>
      <c r="G58" s="27"/>
    </row>
    <row r="59" spans="5:7" ht="15.75" x14ac:dyDescent="0.25">
      <c r="E59" s="27"/>
      <c r="F59" s="27"/>
      <c r="G59" s="27"/>
    </row>
    <row r="60" spans="5:7" ht="15.75" x14ac:dyDescent="0.25">
      <c r="E60" s="27"/>
      <c r="F60" s="27"/>
      <c r="G60" s="27"/>
    </row>
    <row r="61" spans="5:7" ht="15.75" x14ac:dyDescent="0.25">
      <c r="E61" s="26"/>
      <c r="F61" s="26"/>
      <c r="G61" s="26"/>
    </row>
    <row r="62" spans="5:7" ht="15.75" x14ac:dyDescent="0.25">
      <c r="E62" s="27"/>
      <c r="F62" s="27"/>
      <c r="G62" s="27"/>
    </row>
    <row r="63" spans="5:7" ht="15.75" x14ac:dyDescent="0.25">
      <c r="E63" s="26"/>
      <c r="F63" s="26"/>
      <c r="G63" s="26"/>
    </row>
    <row r="64" spans="5:7" ht="15.75" x14ac:dyDescent="0.25">
      <c r="E64" s="27"/>
      <c r="F64" s="27"/>
      <c r="G64" s="27"/>
    </row>
    <row r="65" spans="5:7" ht="15.75" x14ac:dyDescent="0.25">
      <c r="E65" s="27"/>
      <c r="F65" s="27"/>
      <c r="G65" s="27"/>
    </row>
    <row r="66" spans="5:7" ht="15.75" x14ac:dyDescent="0.25">
      <c r="E66" s="27"/>
      <c r="F66" s="27"/>
      <c r="G66" s="27"/>
    </row>
    <row r="67" spans="5:7" ht="15.75" x14ac:dyDescent="0.25">
      <c r="E67" s="27"/>
      <c r="F67" s="27"/>
      <c r="G67" s="27"/>
    </row>
    <row r="68" spans="5:7" ht="15.75" x14ac:dyDescent="0.25">
      <c r="E68" s="27"/>
      <c r="F68" s="27"/>
      <c r="G68" s="27"/>
    </row>
    <row r="69" spans="5:7" ht="15.75" x14ac:dyDescent="0.25">
      <c r="E69" s="27"/>
      <c r="F69" s="27"/>
      <c r="G69" s="27"/>
    </row>
    <row r="70" spans="5:7" ht="15.75" x14ac:dyDescent="0.25">
      <c r="E70" s="27"/>
      <c r="F70" s="27"/>
      <c r="G70" s="27"/>
    </row>
    <row r="71" spans="5:7" ht="15.75" x14ac:dyDescent="0.25">
      <c r="E71" s="27"/>
      <c r="F71" s="27"/>
      <c r="G71" s="27"/>
    </row>
    <row r="72" spans="5:7" ht="15.75" x14ac:dyDescent="0.25">
      <c r="E72" s="27"/>
      <c r="F72" s="27"/>
      <c r="G72" s="27"/>
    </row>
    <row r="73" spans="5:7" ht="15.75" x14ac:dyDescent="0.25">
      <c r="E73" s="26"/>
      <c r="F73" s="26"/>
      <c r="G73" s="26"/>
    </row>
    <row r="74" spans="5:7" ht="15.75" x14ac:dyDescent="0.25">
      <c r="E74" s="27"/>
      <c r="F74" s="27"/>
      <c r="G74" s="27"/>
    </row>
    <row r="75" spans="5:7" ht="15.75" x14ac:dyDescent="0.25">
      <c r="E75" s="27"/>
      <c r="F75" s="27"/>
      <c r="G75" s="27"/>
    </row>
    <row r="76" spans="5:7" ht="15.75" x14ac:dyDescent="0.25">
      <c r="E76" s="27"/>
      <c r="F76" s="27"/>
      <c r="G76" s="27"/>
    </row>
    <row r="77" spans="5:7" ht="15.75" x14ac:dyDescent="0.25">
      <c r="E77" s="27"/>
      <c r="F77" s="27"/>
      <c r="G77" s="27"/>
    </row>
    <row r="78" spans="5:7" ht="15.75" x14ac:dyDescent="0.25">
      <c r="E78" s="27"/>
      <c r="F78" s="27"/>
      <c r="G78" s="27"/>
    </row>
  </sheetData>
  <phoneticPr fontId="8" type="noConversion"/>
  <pageMargins left="0.75" right="0.75" top="1" bottom="1" header="0.5" footer="0.5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15</vt:i4>
      </vt:variant>
    </vt:vector>
  </HeadingPairs>
  <TitlesOfParts>
    <vt:vector size="28" baseType="lpstr">
      <vt:lpstr>Notes 22-23</vt:lpstr>
      <vt:lpstr>TOWN</vt:lpstr>
      <vt:lpstr>REvenue</vt:lpstr>
      <vt:lpstr>BOTTLINE</vt:lpstr>
      <vt:lpstr>CAPITALYR1</vt:lpstr>
      <vt:lpstr>WATER</vt:lpstr>
      <vt:lpstr>SEWER</vt:lpstr>
      <vt:lpstr>5yr CAPITAL</vt:lpstr>
      <vt:lpstr>NOTES</vt:lpstr>
      <vt:lpstr>fire</vt:lpstr>
      <vt:lpstr>FIRE-3 yrs</vt:lpstr>
      <vt:lpstr>GG-Map</vt:lpstr>
      <vt:lpstr>Sheet1</vt:lpstr>
      <vt:lpstr>'5yr CAPITAL'!Print_Area</vt:lpstr>
      <vt:lpstr>CAPITALYR1!Print_Area</vt:lpstr>
      <vt:lpstr>fire!Print_Area</vt:lpstr>
      <vt:lpstr>'FIRE-3 yrs'!Print_Area</vt:lpstr>
      <vt:lpstr>'GG-Map'!Print_Area</vt:lpstr>
      <vt:lpstr>NOTES!Print_Area</vt:lpstr>
      <vt:lpstr>'Notes 22-23'!Print_Area</vt:lpstr>
      <vt:lpstr>REvenue!Print_Area</vt:lpstr>
      <vt:lpstr>SEWER!Print_Area</vt:lpstr>
      <vt:lpstr>TOWN!Print_Area</vt:lpstr>
      <vt:lpstr>WATER!Print_Area</vt:lpstr>
      <vt:lpstr>'5yr CAPITAL'!Print_Titles</vt:lpstr>
      <vt:lpstr>CAPITALYR1!Print_Titles</vt:lpstr>
      <vt:lpstr>fire!Print_Titles</vt:lpstr>
      <vt:lpstr>TOWN!Print_Titles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Borden Carleton Admin</cp:lastModifiedBy>
  <cp:lastPrinted>2022-09-10T14:15:03Z</cp:lastPrinted>
  <dcterms:created xsi:type="dcterms:W3CDTF">2020-06-06T18:03:51Z</dcterms:created>
  <dcterms:modified xsi:type="dcterms:W3CDTF">2023-02-28T20:11:46Z</dcterms:modified>
</cp:coreProperties>
</file>